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xl/vbaProjectSignature.bin" ContentType="application/vnd.ms-office.vbaProjectSignature"/>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kkipfer\Documents\"/>
    </mc:Choice>
  </mc:AlternateContent>
  <workbookProtection workbookPassword="964D" lockStructure="1"/>
  <bookViews>
    <workbookView xWindow="240" yWindow="300" windowWidth="16875" windowHeight="10485" tabRatio="687" activeTab="1"/>
  </bookViews>
  <sheets>
    <sheet name="Instructions" sheetId="9" r:id="rId1"/>
    <sheet name="Costs" sheetId="4" r:id="rId2"/>
    <sheet name="Sources" sheetId="5" r:id="rId3"/>
    <sheet name="Credit Info" sheetId="1" r:id="rId4"/>
    <sheet name="Bldg Info" sheetId="2" r:id="rId5"/>
    <sheet name="Unit Mix" sheetId="3" r:id="rId6"/>
    <sheet name="Op Budg" sheetId="6" r:id="rId7"/>
    <sheet name="Cash Flow" sheetId="7" r:id="rId8"/>
    <sheet name="Owner Cert" sheetId="8" r:id="rId9"/>
    <sheet name="Auditor Cert" sheetId="11" r:id="rId10"/>
  </sheets>
  <definedNames>
    <definedName name="PDC_Land_Cost">Costs!$C$81</definedName>
    <definedName name="PDC_Less_Disproportionate_Std_30_PV">Costs!$E$69</definedName>
    <definedName name="PDC_Less_Disproportionate_Std_70_PV">Costs!$F$69</definedName>
    <definedName name="PDC_Less_Fed_Financ_other_than_CDBG">Costs!$C$68</definedName>
    <definedName name="PDC_Less_Fed_Financ_other_than_CDBG_70_PV">Costs!$F$68</definedName>
    <definedName name="PDC_Less_Historic_Tax_Credit">Costs!$C$71</definedName>
    <definedName name="PDC_Less_Nonqual_Nonrecourse_Financ_30_PV">Costs!$E$70</definedName>
    <definedName name="PDC_Less_Nonqual_Nonrecourse_Financ_70_PV">Costs!$F$70</definedName>
    <definedName name="PDC_Tax_Credit_Rate_30_PV">Costs!$E$77</definedName>
    <definedName name="PDC_Tax_Credit_Rate_70_PV">Costs!$F$77</definedName>
    <definedName name="PDC_Times_Applicable_Fraction_30_PV">Costs!$E$73</definedName>
    <definedName name="PDC_Times_Applicable_Fraction_70_PV">Costs!$F$73</definedName>
    <definedName name="_xlnm.Print_Area" localSheetId="9">'Auditor Cert'!$B$2:$M$53</definedName>
    <definedName name="_xlnm.Print_Area" localSheetId="7">'Cash Flow'!$A$1:$AG$33</definedName>
    <definedName name="_xlnm.Print_Area" localSheetId="1">Costs!$B$2:$F$85</definedName>
    <definedName name="_xlnm.Print_Area" localSheetId="0">Instructions!$B$2:$L$49</definedName>
    <definedName name="_xlnm.Print_Area" localSheetId="8">'Owner Cert'!$B$2:$L$60</definedName>
    <definedName name="_xlnm.Print_Area" localSheetId="2">Sources!$B$2:$H$44</definedName>
    <definedName name="_xlnm.Print_Titles" localSheetId="7">'Cash Flow'!$A:$C,'Cash Flow'!$1:$33</definedName>
    <definedName name="ReplcmntReserves" localSheetId="6">'Op Budg'!$F$64</definedName>
    <definedName name="RETaxes" localSheetId="6">'Op Budg'!$F$50</definedName>
    <definedName name="SuppSvcExp" localSheetId="6">'Op Budg'!$F$63</definedName>
  </definedNames>
  <calcPr calcId="152511"/>
</workbook>
</file>

<file path=xl/calcChain.xml><?xml version="1.0" encoding="utf-8"?>
<calcChain xmlns="http://schemas.openxmlformats.org/spreadsheetml/2006/main">
  <c r="D10" i="7" l="1"/>
  <c r="J53" i="4" l="1"/>
  <c r="J51" i="4"/>
  <c r="C44" i="4" l="1"/>
  <c r="I48" i="4"/>
  <c r="H53" i="4" l="1"/>
  <c r="I52" i="4" s="1"/>
  <c r="I46" i="4"/>
  <c r="C47" i="4" s="1"/>
  <c r="H46" i="4"/>
  <c r="C46" i="4" s="1"/>
  <c r="D24" i="7"/>
  <c r="C80" i="4"/>
  <c r="C24" i="4"/>
  <c r="D22" i="4"/>
  <c r="L8" i="3"/>
  <c r="L18" i="3" s="1"/>
  <c r="H44" i="9"/>
  <c r="F44" i="9" s="1"/>
  <c r="F35" i="3"/>
  <c r="D51" i="4" s="1"/>
  <c r="B37" i="2"/>
  <c r="J37" i="2" s="1"/>
  <c r="C37" i="2"/>
  <c r="B38" i="2"/>
  <c r="J38" i="2" s="1"/>
  <c r="C38" i="2"/>
  <c r="B39" i="2"/>
  <c r="J39" i="2" s="1"/>
  <c r="C39" i="2"/>
  <c r="B40" i="2"/>
  <c r="J40" i="2" s="1"/>
  <c r="C40" i="2"/>
  <c r="B41" i="2"/>
  <c r="J41" i="2" s="1"/>
  <c r="C41" i="2"/>
  <c r="B42" i="2"/>
  <c r="J42" i="2" s="1"/>
  <c r="C42" i="2"/>
  <c r="B43" i="2"/>
  <c r="J43" i="2" s="1"/>
  <c r="C43" i="2"/>
  <c r="B44" i="2"/>
  <c r="J44" i="2" s="1"/>
  <c r="C44" i="2"/>
  <c r="B45" i="2"/>
  <c r="J45" i="2" s="1"/>
  <c r="C45" i="2"/>
  <c r="B46" i="2"/>
  <c r="J46" i="2" s="1"/>
  <c r="C46" i="2"/>
  <c r="B47" i="2"/>
  <c r="J47" i="2" s="1"/>
  <c r="C47" i="2"/>
  <c r="B48" i="2"/>
  <c r="J48" i="2" s="1"/>
  <c r="C48" i="2"/>
  <c r="B49" i="2"/>
  <c r="J49" i="2" s="1"/>
  <c r="C49" i="2"/>
  <c r="B50" i="2"/>
  <c r="J50" i="2" s="1"/>
  <c r="C50" i="2"/>
  <c r="B51" i="2"/>
  <c r="J51" i="2" s="1"/>
  <c r="C51" i="2"/>
  <c r="E6" i="11"/>
  <c r="L4" i="11"/>
  <c r="E67" i="4"/>
  <c r="E72" i="4" s="1"/>
  <c r="E74" i="4" s="1"/>
  <c r="E76" i="4" s="1"/>
  <c r="E78" i="4" s="1"/>
  <c r="F67" i="4"/>
  <c r="F68" i="4"/>
  <c r="F71" i="4"/>
  <c r="C62" i="4"/>
  <c r="D4" i="11"/>
  <c r="H46" i="9"/>
  <c r="F46" i="9" s="1"/>
  <c r="C81" i="7"/>
  <c r="C72" i="7"/>
  <c r="C63" i="7"/>
  <c r="C45" i="7"/>
  <c r="C54" i="7"/>
  <c r="C36" i="7"/>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11" i="1"/>
  <c r="H12" i="1"/>
  <c r="I12" i="1" s="1"/>
  <c r="H13" i="1"/>
  <c r="H14" i="1"/>
  <c r="I14" i="1" s="1"/>
  <c r="H15" i="1"/>
  <c r="I15" i="1" s="1"/>
  <c r="H16" i="1"/>
  <c r="I16" i="1" s="1"/>
  <c r="H17" i="1"/>
  <c r="H18" i="1"/>
  <c r="H19" i="1"/>
  <c r="H20" i="1"/>
  <c r="H21" i="1"/>
  <c r="H22" i="1"/>
  <c r="H23" i="1"/>
  <c r="H24" i="1"/>
  <c r="H25" i="1"/>
  <c r="H26" i="1"/>
  <c r="H27" i="1"/>
  <c r="I27" i="1" s="1"/>
  <c r="H28" i="1"/>
  <c r="J28" i="1" s="1"/>
  <c r="H29" i="1"/>
  <c r="H30" i="1"/>
  <c r="I30" i="1" s="1"/>
  <c r="H31" i="1"/>
  <c r="I31" i="1" s="1"/>
  <c r="H32" i="1"/>
  <c r="H33" i="1"/>
  <c r="I33" i="1" s="1"/>
  <c r="H34" i="1"/>
  <c r="H35" i="1"/>
  <c r="H36" i="1"/>
  <c r="H37" i="1"/>
  <c r="H38" i="1"/>
  <c r="H39" i="1"/>
  <c r="H40" i="1"/>
  <c r="H41" i="1"/>
  <c r="H42" i="1"/>
  <c r="H43" i="1"/>
  <c r="I43" i="1" s="1"/>
  <c r="H44" i="1"/>
  <c r="H45" i="1"/>
  <c r="H46" i="1"/>
  <c r="I46" i="1" s="1"/>
  <c r="H47" i="1"/>
  <c r="I47" i="1" s="1"/>
  <c r="H48" i="1"/>
  <c r="I48" i="1" s="1"/>
  <c r="H49" i="1"/>
  <c r="H50" i="1"/>
  <c r="I50" i="1" s="1"/>
  <c r="H51" i="1"/>
  <c r="H52" i="1"/>
  <c r="H11" i="1"/>
  <c r="M13" i="3"/>
  <c r="M14" i="3"/>
  <c r="M15" i="3"/>
  <c r="M16" i="3"/>
  <c r="M17" i="3"/>
  <c r="M18" i="3"/>
  <c r="M19" i="3"/>
  <c r="M20" i="3"/>
  <c r="M21" i="3"/>
  <c r="M22" i="3"/>
  <c r="M23" i="3"/>
  <c r="M24" i="3"/>
  <c r="M25" i="3"/>
  <c r="M26" i="3"/>
  <c r="M27" i="3"/>
  <c r="M28" i="3"/>
  <c r="M29" i="3"/>
  <c r="M30" i="3"/>
  <c r="M31" i="3"/>
  <c r="M32" i="3"/>
  <c r="M33" i="3"/>
  <c r="M34" i="3"/>
  <c r="N13" i="3"/>
  <c r="N14" i="3"/>
  <c r="N15" i="3"/>
  <c r="N16" i="3"/>
  <c r="N17" i="3"/>
  <c r="N18" i="3"/>
  <c r="N19" i="3"/>
  <c r="N20" i="3"/>
  <c r="N21" i="3"/>
  <c r="N22" i="3"/>
  <c r="N23" i="3"/>
  <c r="N24" i="3"/>
  <c r="N25" i="3"/>
  <c r="N26" i="3"/>
  <c r="N27" i="3"/>
  <c r="N28" i="3"/>
  <c r="N29" i="3"/>
  <c r="N30" i="3"/>
  <c r="N31" i="3"/>
  <c r="N32" i="3"/>
  <c r="N33" i="3"/>
  <c r="N34" i="3"/>
  <c r="L57" i="1"/>
  <c r="J20" i="1"/>
  <c r="F53" i="1"/>
  <c r="C47" i="7"/>
  <c r="K51" i="7" s="1"/>
  <c r="K19" i="7" s="1"/>
  <c r="C73" i="7"/>
  <c r="J75" i="7" s="1"/>
  <c r="J22" i="7" s="1"/>
  <c r="C82" i="7"/>
  <c r="U84" i="7" s="1"/>
  <c r="U23" i="7" s="1"/>
  <c r="C37" i="7"/>
  <c r="E39" i="7" s="1"/>
  <c r="E18" i="7" s="1"/>
  <c r="C55" i="7"/>
  <c r="F57" i="7" s="1"/>
  <c r="F20" i="7" s="1"/>
  <c r="C64" i="7"/>
  <c r="E66" i="7"/>
  <c r="E21" i="7" s="1"/>
  <c r="D25" i="7"/>
  <c r="D26" i="7"/>
  <c r="D27" i="7"/>
  <c r="F21" i="6"/>
  <c r="F27" i="6"/>
  <c r="F49" i="6"/>
  <c r="F58" i="6"/>
  <c r="F63" i="6"/>
  <c r="D16" i="7"/>
  <c r="E16" i="7" s="1"/>
  <c r="F16" i="7" s="1"/>
  <c r="G16" i="7" s="1"/>
  <c r="H16" i="7" s="1"/>
  <c r="I16" i="7" s="1"/>
  <c r="J16" i="7" s="1"/>
  <c r="K16" i="7" s="1"/>
  <c r="L16" i="7" s="1"/>
  <c r="M16" i="7" s="1"/>
  <c r="N16" i="7" s="1"/>
  <c r="O16" i="7" s="1"/>
  <c r="P16" i="7" s="1"/>
  <c r="Q16" i="7" s="1"/>
  <c r="R16" i="7" s="1"/>
  <c r="S16" i="7" s="1"/>
  <c r="T16" i="7" s="1"/>
  <c r="U16" i="7" s="1"/>
  <c r="V16" i="7" s="1"/>
  <c r="W16" i="7" s="1"/>
  <c r="X16" i="7" s="1"/>
  <c r="Y16" i="7" s="1"/>
  <c r="Z16" i="7" s="1"/>
  <c r="AA16" i="7" s="1"/>
  <c r="AB16" i="7" s="1"/>
  <c r="AC16" i="7" s="1"/>
  <c r="AD16" i="7" s="1"/>
  <c r="AE16" i="7" s="1"/>
  <c r="AF16" i="7" s="1"/>
  <c r="AG16" i="7" s="1"/>
  <c r="E10" i="7"/>
  <c r="F10" i="7" s="1"/>
  <c r="G10" i="7" s="1"/>
  <c r="H10" i="7" s="1"/>
  <c r="I10" i="7" s="1"/>
  <c r="J10" i="7" s="1"/>
  <c r="K10" i="7" s="1"/>
  <c r="L10" i="7" s="1"/>
  <c r="M10" i="7" s="1"/>
  <c r="N10" i="7" s="1"/>
  <c r="O10" i="7" s="1"/>
  <c r="P10" i="7" s="1"/>
  <c r="Q10" i="7" s="1"/>
  <c r="R10" i="7" s="1"/>
  <c r="S10" i="7" s="1"/>
  <c r="T10" i="7" s="1"/>
  <c r="U10" i="7" s="1"/>
  <c r="V10" i="7" s="1"/>
  <c r="W10" i="7" s="1"/>
  <c r="X10" i="7" s="1"/>
  <c r="Y10" i="7" s="1"/>
  <c r="Z10" i="7" s="1"/>
  <c r="AA10" i="7" s="1"/>
  <c r="AB10" i="7" s="1"/>
  <c r="AC10" i="7" s="1"/>
  <c r="AD10" i="7" s="1"/>
  <c r="AE10" i="7" s="1"/>
  <c r="AF10" i="7" s="1"/>
  <c r="AG10" i="7" s="1"/>
  <c r="D11" i="7"/>
  <c r="E11" i="7" s="1"/>
  <c r="F11" i="7" s="1"/>
  <c r="G11" i="7" s="1"/>
  <c r="H11" i="7" s="1"/>
  <c r="I11" i="7" s="1"/>
  <c r="J11" i="7" s="1"/>
  <c r="K11" i="7" s="1"/>
  <c r="L11" i="7" s="1"/>
  <c r="M11" i="7" s="1"/>
  <c r="N11" i="7" s="1"/>
  <c r="O11" i="7" s="1"/>
  <c r="P11" i="7" s="1"/>
  <c r="Q11" i="7" s="1"/>
  <c r="R11" i="7" s="1"/>
  <c r="S11" i="7" s="1"/>
  <c r="T11" i="7" s="1"/>
  <c r="U11" i="7" s="1"/>
  <c r="V11" i="7" s="1"/>
  <c r="W11" i="7" s="1"/>
  <c r="X11" i="7" s="1"/>
  <c r="Y11" i="7" s="1"/>
  <c r="Z11" i="7" s="1"/>
  <c r="AA11" i="7" s="1"/>
  <c r="AB11" i="7" s="1"/>
  <c r="AC11" i="7" s="1"/>
  <c r="AD11" i="7" s="1"/>
  <c r="AE11" i="7" s="1"/>
  <c r="AF11" i="7" s="1"/>
  <c r="AG11" i="7" s="1"/>
  <c r="E75" i="7"/>
  <c r="E22" i="7" s="1"/>
  <c r="E24" i="7"/>
  <c r="E25" i="7"/>
  <c r="E26" i="7"/>
  <c r="E27" i="7"/>
  <c r="F75" i="7"/>
  <c r="F22" i="7" s="1"/>
  <c r="F24" i="7"/>
  <c r="F25" i="7"/>
  <c r="F26" i="7"/>
  <c r="F27" i="7"/>
  <c r="G24" i="7"/>
  <c r="G25" i="7"/>
  <c r="G26" i="7"/>
  <c r="G27" i="7"/>
  <c r="H24" i="7"/>
  <c r="H25" i="7"/>
  <c r="H26" i="7"/>
  <c r="H27" i="7"/>
  <c r="I75" i="7"/>
  <c r="I22" i="7" s="1"/>
  <c r="I24" i="7"/>
  <c r="I25" i="7"/>
  <c r="I26" i="7"/>
  <c r="I27" i="7"/>
  <c r="J24" i="7"/>
  <c r="J25" i="7"/>
  <c r="J26" i="7"/>
  <c r="J27" i="7"/>
  <c r="K24" i="7"/>
  <c r="K25" i="7"/>
  <c r="K26" i="7"/>
  <c r="K27" i="7"/>
  <c r="L51" i="7"/>
  <c r="L19" i="7" s="1"/>
  <c r="L75" i="7"/>
  <c r="L22" i="7" s="1"/>
  <c r="L24" i="7"/>
  <c r="L25" i="7"/>
  <c r="L26" i="7"/>
  <c r="L27" i="7"/>
  <c r="M24" i="7"/>
  <c r="M25" i="7"/>
  <c r="M26" i="7"/>
  <c r="M27" i="7"/>
  <c r="N75" i="7"/>
  <c r="N22" i="7" s="1"/>
  <c r="N24" i="7"/>
  <c r="N25" i="7"/>
  <c r="N26" i="7"/>
  <c r="N27" i="7"/>
  <c r="O39" i="7"/>
  <c r="O18" i="7" s="1"/>
  <c r="O91" i="7" s="1"/>
  <c r="O24" i="7"/>
  <c r="O25" i="7"/>
  <c r="O26" i="7"/>
  <c r="O27" i="7"/>
  <c r="P75" i="7"/>
  <c r="P22" i="7" s="1"/>
  <c r="P24" i="7"/>
  <c r="P25" i="7"/>
  <c r="P26" i="7"/>
  <c r="P27" i="7"/>
  <c r="Q24" i="7"/>
  <c r="Q25" i="7"/>
  <c r="Q26" i="7"/>
  <c r="Q27" i="7"/>
  <c r="R75" i="7"/>
  <c r="R22" i="7"/>
  <c r="R24" i="7"/>
  <c r="R25" i="7"/>
  <c r="R26" i="7"/>
  <c r="R27" i="7"/>
  <c r="L33" i="7"/>
  <c r="K4" i="8"/>
  <c r="D4" i="8"/>
  <c r="F50" i="8"/>
  <c r="B45" i="8"/>
  <c r="S26" i="7"/>
  <c r="T26" i="7"/>
  <c r="U26" i="7"/>
  <c r="V26" i="7"/>
  <c r="W26" i="7"/>
  <c r="X26" i="7"/>
  <c r="Y26" i="7"/>
  <c r="Z26" i="7"/>
  <c r="AA26" i="7"/>
  <c r="AB26" i="7"/>
  <c r="AC26" i="7"/>
  <c r="AD26" i="7"/>
  <c r="AE26" i="7"/>
  <c r="AF26" i="7"/>
  <c r="AG26" i="7"/>
  <c r="C27" i="5"/>
  <c r="D25" i="5" s="1"/>
  <c r="C56" i="7"/>
  <c r="D56" i="7" s="1"/>
  <c r="D59" i="7"/>
  <c r="D26" i="5"/>
  <c r="D37" i="7"/>
  <c r="E37" i="7" s="1"/>
  <c r="F37" i="7" s="1"/>
  <c r="G37" i="7" s="1"/>
  <c r="H37" i="7" s="1"/>
  <c r="I37" i="7" s="1"/>
  <c r="J37" i="7" s="1"/>
  <c r="K37" i="7" s="1"/>
  <c r="L37" i="7" s="1"/>
  <c r="M37" i="7" s="1"/>
  <c r="N37" i="7" s="1"/>
  <c r="O37" i="7" s="1"/>
  <c r="P37" i="7" s="1"/>
  <c r="Q37" i="7" s="1"/>
  <c r="R37" i="7" s="1"/>
  <c r="S37" i="7" s="1"/>
  <c r="T37" i="7" s="1"/>
  <c r="U37" i="7" s="1"/>
  <c r="V37" i="7" s="1"/>
  <c r="W37" i="7" s="1"/>
  <c r="X37" i="7" s="1"/>
  <c r="Y37" i="7" s="1"/>
  <c r="Z37" i="7" s="1"/>
  <c r="AA37" i="7" s="1"/>
  <c r="AB37" i="7" s="1"/>
  <c r="AC37" i="7" s="1"/>
  <c r="AD37" i="7" s="1"/>
  <c r="AE37" i="7" s="1"/>
  <c r="AF37" i="7" s="1"/>
  <c r="AG37" i="7" s="1"/>
  <c r="C38" i="7"/>
  <c r="D38" i="7" s="1"/>
  <c r="D73" i="7"/>
  <c r="C74" i="7"/>
  <c r="D74" i="7" s="1"/>
  <c r="K13" i="3"/>
  <c r="B13" i="2"/>
  <c r="J13" i="2" s="1"/>
  <c r="C13" i="2"/>
  <c r="B14" i="2"/>
  <c r="J14" i="2" s="1"/>
  <c r="C14" i="2"/>
  <c r="B15" i="2"/>
  <c r="J15" i="2" s="1"/>
  <c r="C15" i="2"/>
  <c r="B16" i="2"/>
  <c r="J16" i="2" s="1"/>
  <c r="C16" i="2"/>
  <c r="B17" i="2"/>
  <c r="J17" i="2" s="1"/>
  <c r="C17" i="2"/>
  <c r="B18" i="2"/>
  <c r="J18" i="2" s="1"/>
  <c r="C18" i="2"/>
  <c r="B19" i="2"/>
  <c r="J19" i="2" s="1"/>
  <c r="C19" i="2"/>
  <c r="B20" i="2"/>
  <c r="J20" i="2" s="1"/>
  <c r="C20" i="2"/>
  <c r="B21" i="2"/>
  <c r="J21" i="2" s="1"/>
  <c r="C21" i="2"/>
  <c r="B22" i="2"/>
  <c r="J22" i="2" s="1"/>
  <c r="C22" i="2"/>
  <c r="B23" i="2"/>
  <c r="J23" i="2" s="1"/>
  <c r="C23" i="2"/>
  <c r="B24" i="2"/>
  <c r="J24" i="2" s="1"/>
  <c r="C24" i="2"/>
  <c r="B25" i="2"/>
  <c r="J25" i="2" s="1"/>
  <c r="C25" i="2"/>
  <c r="B26" i="2"/>
  <c r="J26" i="2" s="1"/>
  <c r="C26" i="2"/>
  <c r="B27" i="2"/>
  <c r="J27" i="2" s="1"/>
  <c r="C27" i="2"/>
  <c r="B28" i="2"/>
  <c r="J28" i="2" s="1"/>
  <c r="C28" i="2"/>
  <c r="B29" i="2"/>
  <c r="J29" i="2" s="1"/>
  <c r="C29" i="2"/>
  <c r="B30" i="2"/>
  <c r="J30" i="2" s="1"/>
  <c r="C30" i="2"/>
  <c r="B31" i="2"/>
  <c r="J31" i="2" s="1"/>
  <c r="C31" i="2"/>
  <c r="B32" i="2"/>
  <c r="J32" i="2" s="1"/>
  <c r="C32" i="2"/>
  <c r="B33" i="2"/>
  <c r="J33" i="2" s="1"/>
  <c r="C33" i="2"/>
  <c r="B34" i="2"/>
  <c r="J34" i="2" s="1"/>
  <c r="C34" i="2"/>
  <c r="B35" i="2"/>
  <c r="J35" i="2" s="1"/>
  <c r="C35" i="2"/>
  <c r="B36" i="2"/>
  <c r="J36" i="2" s="1"/>
  <c r="C36" i="2"/>
  <c r="B12" i="2"/>
  <c r="J12" i="2" s="1"/>
  <c r="C12" i="2"/>
  <c r="B11" i="2"/>
  <c r="J11" i="2" s="1"/>
  <c r="C11" i="2"/>
  <c r="C10" i="2"/>
  <c r="B10" i="2"/>
  <c r="J10" i="2" s="1"/>
  <c r="G35" i="3"/>
  <c r="C41" i="4"/>
  <c r="F3" i="7"/>
  <c r="G5" i="5"/>
  <c r="B3" i="7"/>
  <c r="F5" i="6"/>
  <c r="B5" i="6"/>
  <c r="B5" i="5"/>
  <c r="S24" i="7"/>
  <c r="T24" i="7"/>
  <c r="U24" i="7"/>
  <c r="V24" i="7"/>
  <c r="W24" i="7"/>
  <c r="X24" i="7"/>
  <c r="Y24" i="7"/>
  <c r="Z24" i="7"/>
  <c r="AA24" i="7"/>
  <c r="AB24" i="7"/>
  <c r="AC24" i="7"/>
  <c r="AD24" i="7"/>
  <c r="AE24" i="7"/>
  <c r="AF24" i="7"/>
  <c r="AG24" i="7"/>
  <c r="S25" i="7"/>
  <c r="T25" i="7"/>
  <c r="U25" i="7"/>
  <c r="V25" i="7"/>
  <c r="W25" i="7"/>
  <c r="X25" i="7"/>
  <c r="Y25" i="7"/>
  <c r="Z25" i="7"/>
  <c r="AA25" i="7"/>
  <c r="AB25" i="7"/>
  <c r="AC25" i="7"/>
  <c r="AD25" i="7"/>
  <c r="AE25" i="7"/>
  <c r="AF25" i="7"/>
  <c r="AG25" i="7"/>
  <c r="S27" i="7"/>
  <c r="T27" i="7"/>
  <c r="U27" i="7"/>
  <c r="V27" i="7"/>
  <c r="W27" i="7"/>
  <c r="X27" i="7"/>
  <c r="Y27" i="7"/>
  <c r="Z27" i="7"/>
  <c r="AA27" i="7"/>
  <c r="AB27" i="7"/>
  <c r="AC27" i="7"/>
  <c r="AD27" i="7"/>
  <c r="AE27" i="7"/>
  <c r="AF27" i="7"/>
  <c r="AG27" i="7"/>
  <c r="D82" i="7"/>
  <c r="E82" i="7" s="1"/>
  <c r="F82" i="7" s="1"/>
  <c r="G82" i="7" s="1"/>
  <c r="H82" i="7" s="1"/>
  <c r="I82" i="7" s="1"/>
  <c r="J82" i="7" s="1"/>
  <c r="K82" i="7" s="1"/>
  <c r="L82" i="7" s="1"/>
  <c r="M82" i="7" s="1"/>
  <c r="N82" i="7" s="1"/>
  <c r="O82" i="7" s="1"/>
  <c r="P82" i="7" s="1"/>
  <c r="Q82" i="7" s="1"/>
  <c r="R82" i="7" s="1"/>
  <c r="S82" i="7" s="1"/>
  <c r="T82" i="7" s="1"/>
  <c r="U82" i="7" s="1"/>
  <c r="V82" i="7" s="1"/>
  <c r="W82" i="7" s="1"/>
  <c r="X82" i="7" s="1"/>
  <c r="Y82" i="7" s="1"/>
  <c r="Z82" i="7" s="1"/>
  <c r="AA82" i="7" s="1"/>
  <c r="AB82" i="7" s="1"/>
  <c r="AC82" i="7" s="1"/>
  <c r="AD82" i="7" s="1"/>
  <c r="AE82" i="7" s="1"/>
  <c r="AF82" i="7" s="1"/>
  <c r="AG82" i="7" s="1"/>
  <c r="C84" i="7"/>
  <c r="C83" i="7"/>
  <c r="D83" i="7" s="1"/>
  <c r="C75" i="7"/>
  <c r="D64" i="7"/>
  <c r="E64" i="7" s="1"/>
  <c r="F64" i="7" s="1"/>
  <c r="G64" i="7" s="1"/>
  <c r="H64" i="7" s="1"/>
  <c r="I64" i="7" s="1"/>
  <c r="J64" i="7" s="1"/>
  <c r="K64" i="7" s="1"/>
  <c r="L64" i="7" s="1"/>
  <c r="M64" i="7" s="1"/>
  <c r="N64" i="7" s="1"/>
  <c r="O64" i="7" s="1"/>
  <c r="P64" i="7" s="1"/>
  <c r="Q64" i="7" s="1"/>
  <c r="R64" i="7" s="1"/>
  <c r="S64" i="7" s="1"/>
  <c r="T64" i="7" s="1"/>
  <c r="U64" i="7" s="1"/>
  <c r="V64" i="7" s="1"/>
  <c r="W64" i="7" s="1"/>
  <c r="X64" i="7" s="1"/>
  <c r="Y64" i="7" s="1"/>
  <c r="Z64" i="7" s="1"/>
  <c r="AA64" i="7" s="1"/>
  <c r="AB64" i="7" s="1"/>
  <c r="AC64" i="7" s="1"/>
  <c r="AD64" i="7" s="1"/>
  <c r="AE64" i="7" s="1"/>
  <c r="AF64" i="7" s="1"/>
  <c r="AG64" i="7" s="1"/>
  <c r="C66" i="7"/>
  <c r="C65" i="7"/>
  <c r="D55" i="7"/>
  <c r="E55" i="7" s="1"/>
  <c r="F55" i="7" s="1"/>
  <c r="G55" i="7" s="1"/>
  <c r="H55" i="7" s="1"/>
  <c r="I55" i="7" s="1"/>
  <c r="J55" i="7" s="1"/>
  <c r="K55" i="7" s="1"/>
  <c r="L55" i="7" s="1"/>
  <c r="M55" i="7" s="1"/>
  <c r="N55" i="7" s="1"/>
  <c r="O55" i="7" s="1"/>
  <c r="P55" i="7" s="1"/>
  <c r="Q55" i="7" s="1"/>
  <c r="R55" i="7" s="1"/>
  <c r="S55" i="7" s="1"/>
  <c r="T55" i="7" s="1"/>
  <c r="U55" i="7" s="1"/>
  <c r="V55" i="7" s="1"/>
  <c r="W55" i="7" s="1"/>
  <c r="X55" i="7" s="1"/>
  <c r="Y55" i="7" s="1"/>
  <c r="Z55" i="7" s="1"/>
  <c r="AA55" i="7" s="1"/>
  <c r="AB55" i="7" s="1"/>
  <c r="AC55" i="7" s="1"/>
  <c r="AD55" i="7" s="1"/>
  <c r="AE55" i="7" s="1"/>
  <c r="AF55" i="7" s="1"/>
  <c r="AG55" i="7" s="1"/>
  <c r="C57" i="7"/>
  <c r="C46" i="7"/>
  <c r="C39" i="7"/>
  <c r="B80" i="7"/>
  <c r="B71" i="7"/>
  <c r="B62" i="7"/>
  <c r="B53" i="7"/>
  <c r="B35" i="7"/>
  <c r="W75" i="7"/>
  <c r="W22" i="7" s="1"/>
  <c r="V57" i="7"/>
  <c r="V20" i="7" s="1"/>
  <c r="T39" i="7"/>
  <c r="T18" i="7" s="1"/>
  <c r="T75" i="7"/>
  <c r="T22" i="7" s="1"/>
  <c r="S57" i="7"/>
  <c r="S20" i="7" s="1"/>
  <c r="B78" i="7"/>
  <c r="B87" i="7" s="1"/>
  <c r="Z86" i="7"/>
  <c r="J86" i="7"/>
  <c r="B77" i="7"/>
  <c r="B86" i="7"/>
  <c r="E85" i="7"/>
  <c r="B76" i="7"/>
  <c r="B85" i="7" s="1"/>
  <c r="B75" i="7"/>
  <c r="B84" i="7" s="1"/>
  <c r="B47" i="7"/>
  <c r="B56" i="7" s="1"/>
  <c r="B74" i="7" s="1"/>
  <c r="B83" i="7" s="1"/>
  <c r="B46" i="7"/>
  <c r="B55" i="7"/>
  <c r="B73" i="7" s="1"/>
  <c r="B82" i="7" s="1"/>
  <c r="B81" i="7"/>
  <c r="AG78" i="7"/>
  <c r="AF78" i="7"/>
  <c r="AC78" i="7"/>
  <c r="AB78" i="7"/>
  <c r="Y78" i="7"/>
  <c r="X78" i="7"/>
  <c r="E73" i="7"/>
  <c r="F73" i="7" s="1"/>
  <c r="G73" i="7" s="1"/>
  <c r="H73" i="7" s="1"/>
  <c r="I73" i="7" s="1"/>
  <c r="J73" i="7" s="1"/>
  <c r="K73" i="7" s="1"/>
  <c r="L73" i="7" s="1"/>
  <c r="M73" i="7" s="1"/>
  <c r="N73" i="7" s="1"/>
  <c r="O73" i="7" s="1"/>
  <c r="P73" i="7" s="1"/>
  <c r="Q73" i="7" s="1"/>
  <c r="R73" i="7" s="1"/>
  <c r="S73" i="7" s="1"/>
  <c r="T73" i="7" s="1"/>
  <c r="U73" i="7" s="1"/>
  <c r="V73" i="7" s="1"/>
  <c r="W73" i="7" s="1"/>
  <c r="X73" i="7" s="1"/>
  <c r="Y73" i="7" s="1"/>
  <c r="Z73" i="7" s="1"/>
  <c r="AA73" i="7" s="1"/>
  <c r="AB73" i="7" s="1"/>
  <c r="AC73" i="7" s="1"/>
  <c r="AD73" i="7" s="1"/>
  <c r="AE73" i="7" s="1"/>
  <c r="AF73" i="7" s="1"/>
  <c r="AG73" i="7" s="1"/>
  <c r="D78" i="7"/>
  <c r="E77" i="7"/>
  <c r="F78" i="7"/>
  <c r="G77" i="7"/>
  <c r="H78" i="7"/>
  <c r="I77" i="7"/>
  <c r="J78" i="7"/>
  <c r="K77" i="7"/>
  <c r="L78" i="7"/>
  <c r="M77" i="7"/>
  <c r="N78" i="7"/>
  <c r="O77" i="7"/>
  <c r="P78" i="7"/>
  <c r="Q77" i="7"/>
  <c r="R78" i="7"/>
  <c r="S77" i="7"/>
  <c r="T78" i="7"/>
  <c r="U77" i="7"/>
  <c r="V78" i="7"/>
  <c r="W77" i="7"/>
  <c r="AF77" i="7"/>
  <c r="AE77" i="7"/>
  <c r="AB77" i="7"/>
  <c r="AA77" i="7"/>
  <c r="X77" i="7"/>
  <c r="AG76" i="7"/>
  <c r="AD76" i="7"/>
  <c r="AC76" i="7"/>
  <c r="Z76" i="7"/>
  <c r="Y76" i="7"/>
  <c r="V76" i="7"/>
  <c r="U76" i="7"/>
  <c r="R76" i="7"/>
  <c r="Q76" i="7"/>
  <c r="N76" i="7"/>
  <c r="M76" i="7"/>
  <c r="J76" i="7"/>
  <c r="I76" i="7"/>
  <c r="F76" i="7"/>
  <c r="E76" i="7"/>
  <c r="AF75" i="7"/>
  <c r="AF22" i="7" s="1"/>
  <c r="AE75" i="7"/>
  <c r="AE22" i="7" s="1"/>
  <c r="AB75" i="7"/>
  <c r="AB22" i="7"/>
  <c r="AA75" i="7"/>
  <c r="AA22" i="7" s="1"/>
  <c r="X75" i="7"/>
  <c r="X22" i="7" s="1"/>
  <c r="AD69" i="7"/>
  <c r="V69" i="7"/>
  <c r="N69" i="7"/>
  <c r="F69" i="7"/>
  <c r="B69" i="7"/>
  <c r="AF68" i="7"/>
  <c r="X68" i="7"/>
  <c r="P68" i="7"/>
  <c r="H68" i="7"/>
  <c r="B68" i="7"/>
  <c r="AF67" i="7"/>
  <c r="X67" i="7"/>
  <c r="P67" i="7"/>
  <c r="H67" i="7"/>
  <c r="B67" i="7"/>
  <c r="AE66" i="7"/>
  <c r="AE21" i="7" s="1"/>
  <c r="B66" i="7"/>
  <c r="D65" i="7"/>
  <c r="B65" i="7"/>
  <c r="B64" i="7"/>
  <c r="G60" i="7"/>
  <c r="H59" i="7"/>
  <c r="K60" i="7"/>
  <c r="L59" i="7"/>
  <c r="O60" i="7"/>
  <c r="P59" i="7"/>
  <c r="S60" i="7"/>
  <c r="T59" i="7"/>
  <c r="W60" i="7"/>
  <c r="X59" i="7"/>
  <c r="AA60" i="7"/>
  <c r="AB59" i="7"/>
  <c r="AE60" i="7"/>
  <c r="AF59" i="7"/>
  <c r="AF57" i="7"/>
  <c r="AF20" i="7" s="1"/>
  <c r="AF58" i="7"/>
  <c r="AC58" i="7"/>
  <c r="Z58" i="7"/>
  <c r="Y57" i="7"/>
  <c r="Y20" i="7" s="1"/>
  <c r="U58" i="7"/>
  <c r="T58" i="7"/>
  <c r="M58" i="7"/>
  <c r="L58" i="7"/>
  <c r="E58" i="7"/>
  <c r="B45" i="7"/>
  <c r="B54" i="7" s="1"/>
  <c r="S51" i="7"/>
  <c r="S19" i="7" s="1"/>
  <c r="H42" i="7"/>
  <c r="P42" i="7"/>
  <c r="X42" i="7"/>
  <c r="AF42" i="7"/>
  <c r="Z39" i="7"/>
  <c r="Z18" i="7" s="1"/>
  <c r="M40" i="7"/>
  <c r="AG19" i="7"/>
  <c r="AF19" i="7"/>
  <c r="AE19" i="7"/>
  <c r="AD19" i="7"/>
  <c r="AC19" i="7"/>
  <c r="AB19" i="7"/>
  <c r="AA19" i="7"/>
  <c r="Z19" i="7"/>
  <c r="Y19" i="7"/>
  <c r="X19" i="7"/>
  <c r="K34" i="3"/>
  <c r="K14" i="3"/>
  <c r="K18" i="3"/>
  <c r="K19" i="3"/>
  <c r="K20" i="3"/>
  <c r="K21" i="3"/>
  <c r="K22" i="3"/>
  <c r="K23" i="3"/>
  <c r="K24" i="3"/>
  <c r="K25" i="3"/>
  <c r="K26" i="3"/>
  <c r="K27" i="3"/>
  <c r="K28" i="3"/>
  <c r="K29" i="3"/>
  <c r="K30" i="3"/>
  <c r="K31" i="3"/>
  <c r="K32" i="3"/>
  <c r="K33" i="3"/>
  <c r="L5" i="1"/>
  <c r="M5" i="3" s="1"/>
  <c r="C5" i="1"/>
  <c r="D5" i="3" s="1"/>
  <c r="D20" i="4"/>
  <c r="D19" i="4"/>
  <c r="D18" i="4"/>
  <c r="D17" i="4"/>
  <c r="K15" i="3"/>
  <c r="K16" i="3"/>
  <c r="K17" i="3"/>
  <c r="G53" i="1"/>
  <c r="J37" i="1"/>
  <c r="J33" i="1"/>
  <c r="J25" i="1"/>
  <c r="J13" i="1"/>
  <c r="H51" i="7"/>
  <c r="H19" i="7" s="1"/>
  <c r="F51" i="7"/>
  <c r="F19" i="7" s="1"/>
  <c r="G48" i="7"/>
  <c r="G50" i="7"/>
  <c r="L49" i="7"/>
  <c r="M48" i="7"/>
  <c r="Q50" i="7"/>
  <c r="R49" i="7"/>
  <c r="W48" i="7"/>
  <c r="E47" i="7"/>
  <c r="T84" i="7"/>
  <c r="T23" i="7" s="1"/>
  <c r="O87" i="7"/>
  <c r="G87" i="7"/>
  <c r="K86" i="7"/>
  <c r="AE85" i="7"/>
  <c r="G85" i="7"/>
  <c r="AA84" i="7"/>
  <c r="AA23" i="7" s="1"/>
  <c r="X87" i="7"/>
  <c r="P87" i="7"/>
  <c r="X86" i="7"/>
  <c r="P86" i="7"/>
  <c r="X85" i="7"/>
  <c r="P85" i="7"/>
  <c r="X84" i="7"/>
  <c r="X23" i="7" s="1"/>
  <c r="AD66" i="7"/>
  <c r="AD21" i="7" s="1"/>
  <c r="O67" i="7"/>
  <c r="AE67" i="7"/>
  <c r="M68" i="7"/>
  <c r="AC68" i="7"/>
  <c r="M69" i="7"/>
  <c r="U69" i="7"/>
  <c r="AC69" i="7"/>
  <c r="AC84" i="7"/>
  <c r="AC23" i="7" s="1"/>
  <c r="Y86" i="7"/>
  <c r="V87" i="7"/>
  <c r="U66" i="7"/>
  <c r="U21" i="7" s="1"/>
  <c r="AA66" i="7"/>
  <c r="AA21" i="7" s="1"/>
  <c r="D67" i="7"/>
  <c r="L67" i="7"/>
  <c r="T67" i="7"/>
  <c r="AB67" i="7"/>
  <c r="D68" i="7"/>
  <c r="L68" i="7"/>
  <c r="T68" i="7"/>
  <c r="AB68" i="7"/>
  <c r="J69" i="7"/>
  <c r="R69" i="7"/>
  <c r="Z69" i="7"/>
  <c r="Y85" i="7"/>
  <c r="F86" i="7"/>
  <c r="U87" i="7"/>
  <c r="I66" i="7"/>
  <c r="I21" i="7"/>
  <c r="H66" i="7"/>
  <c r="H21" i="7" s="1"/>
  <c r="T66" i="7"/>
  <c r="T21" i="7" s="1"/>
  <c r="S66" i="7"/>
  <c r="S21" i="7"/>
  <c r="AE69" i="7"/>
  <c r="AA69" i="7"/>
  <c r="W69" i="7"/>
  <c r="S69" i="7"/>
  <c r="O69" i="7"/>
  <c r="K69" i="7"/>
  <c r="G69" i="7"/>
  <c r="AD68" i="7"/>
  <c r="Z68" i="7"/>
  <c r="V68" i="7"/>
  <c r="R68" i="7"/>
  <c r="N68" i="7"/>
  <c r="J68" i="7"/>
  <c r="F68" i="7"/>
  <c r="AG67" i="7"/>
  <c r="AC67" i="7"/>
  <c r="Y67" i="7"/>
  <c r="U67" i="7"/>
  <c r="Q67" i="7"/>
  <c r="M67" i="7"/>
  <c r="I67" i="7"/>
  <c r="E67" i="7"/>
  <c r="AF66" i="7"/>
  <c r="AF21" i="7"/>
  <c r="AB66" i="7"/>
  <c r="AB21" i="7" s="1"/>
  <c r="X66" i="7"/>
  <c r="X21" i="7" s="1"/>
  <c r="D66" i="7"/>
  <c r="D21" i="7" s="1"/>
  <c r="G66" i="7"/>
  <c r="G21" i="7" s="1"/>
  <c r="J66" i="7"/>
  <c r="J21" i="7" s="1"/>
  <c r="L66" i="7"/>
  <c r="L21" i="7" s="1"/>
  <c r="N66" i="7"/>
  <c r="N21" i="7"/>
  <c r="P66" i="7"/>
  <c r="P21" i="7" s="1"/>
  <c r="R66" i="7"/>
  <c r="R21" i="7" s="1"/>
  <c r="AF69" i="7"/>
  <c r="AB69" i="7"/>
  <c r="X69" i="7"/>
  <c r="T69" i="7"/>
  <c r="P69" i="7"/>
  <c r="L69" i="7"/>
  <c r="H69" i="7"/>
  <c r="D69" i="7"/>
  <c r="AE68" i="7"/>
  <c r="AA68" i="7"/>
  <c r="W68" i="7"/>
  <c r="S68" i="7"/>
  <c r="O68" i="7"/>
  <c r="K68" i="7"/>
  <c r="G68" i="7"/>
  <c r="AD67" i="7"/>
  <c r="Z67" i="7"/>
  <c r="V67" i="7"/>
  <c r="R67" i="7"/>
  <c r="N67" i="7"/>
  <c r="J67" i="7"/>
  <c r="F67" i="7"/>
  <c r="AG66" i="7"/>
  <c r="AG21" i="7" s="1"/>
  <c r="AC66" i="7"/>
  <c r="AC21" i="7" s="1"/>
  <c r="Y66" i="7"/>
  <c r="Y21" i="7" s="1"/>
  <c r="H75" i="7"/>
  <c r="H22" i="7"/>
  <c r="K75" i="7"/>
  <c r="K22" i="7" s="1"/>
  <c r="M75" i="7"/>
  <c r="M22" i="7" s="1"/>
  <c r="O75" i="7"/>
  <c r="O22" i="7" s="1"/>
  <c r="Q75" i="7"/>
  <c r="Q22" i="7" s="1"/>
  <c r="U75" i="7"/>
  <c r="U22" i="7" s="1"/>
  <c r="AD78" i="7"/>
  <c r="Z78" i="7"/>
  <c r="D77" i="7"/>
  <c r="F77" i="7"/>
  <c r="H77" i="7"/>
  <c r="J77" i="7"/>
  <c r="L77" i="7"/>
  <c r="N77" i="7"/>
  <c r="P77" i="7"/>
  <c r="R77" i="7"/>
  <c r="T77" i="7"/>
  <c r="V77" i="7"/>
  <c r="AG77" i="7"/>
  <c r="AC77" i="7"/>
  <c r="Y77" i="7"/>
  <c r="AE76" i="7"/>
  <c r="AA76" i="7"/>
  <c r="W76" i="7"/>
  <c r="S76" i="7"/>
  <c r="O76" i="7"/>
  <c r="K76" i="7"/>
  <c r="G76" i="7"/>
  <c r="AG75" i="7"/>
  <c r="AG22" i="7" s="1"/>
  <c r="AC75" i="7"/>
  <c r="AC22" i="7" s="1"/>
  <c r="Y75" i="7"/>
  <c r="Y22" i="7" s="1"/>
  <c r="D75" i="7"/>
  <c r="D22" i="7" s="1"/>
  <c r="G75" i="7"/>
  <c r="G22" i="7" s="1"/>
  <c r="V75" i="7"/>
  <c r="V22" i="7"/>
  <c r="S75" i="7"/>
  <c r="S22" i="7"/>
  <c r="AE78" i="7"/>
  <c r="AA78" i="7"/>
  <c r="E78" i="7"/>
  <c r="G78" i="7"/>
  <c r="I78" i="7"/>
  <c r="K78" i="7"/>
  <c r="M78" i="7"/>
  <c r="O78" i="7"/>
  <c r="Q78" i="7"/>
  <c r="S78" i="7"/>
  <c r="U78" i="7"/>
  <c r="W78" i="7"/>
  <c r="AD77" i="7"/>
  <c r="Z77" i="7"/>
  <c r="AF76" i="7"/>
  <c r="AB76" i="7"/>
  <c r="X76" i="7"/>
  <c r="T76" i="7"/>
  <c r="P76" i="7"/>
  <c r="L76" i="7"/>
  <c r="H76" i="7"/>
  <c r="D76" i="7"/>
  <c r="AD75" i="7"/>
  <c r="AD22" i="7"/>
  <c r="Z75" i="7"/>
  <c r="Z22" i="7" s="1"/>
  <c r="G67" i="7"/>
  <c r="W67" i="7"/>
  <c r="E68" i="7"/>
  <c r="U68" i="7"/>
  <c r="E69" i="7"/>
  <c r="AG86" i="7"/>
  <c r="V66" i="7"/>
  <c r="V21" i="7" s="1"/>
  <c r="Q66" i="7"/>
  <c r="Q21" i="7" s="1"/>
  <c r="M66" i="7"/>
  <c r="M21" i="7"/>
  <c r="Z66" i="7"/>
  <c r="Z21" i="7" s="1"/>
  <c r="K67" i="7"/>
  <c r="S67" i="7"/>
  <c r="AA67" i="7"/>
  <c r="I68" i="7"/>
  <c r="Q68" i="7"/>
  <c r="Y68" i="7"/>
  <c r="AG68" i="7"/>
  <c r="I69" i="7"/>
  <c r="Q69" i="7"/>
  <c r="Y69" i="7"/>
  <c r="AG69" i="7"/>
  <c r="F85" i="7"/>
  <c r="U86" i="7"/>
  <c r="J87" i="7"/>
  <c r="W66" i="7"/>
  <c r="W21" i="7" s="1"/>
  <c r="O66" i="7"/>
  <c r="O21" i="7" s="1"/>
  <c r="K66" i="7"/>
  <c r="K21" i="7" s="1"/>
  <c r="F66" i="7"/>
  <c r="F21" i="7" s="1"/>
  <c r="K40" i="7" l="1"/>
  <c r="Y39" i="7"/>
  <c r="Y18" i="7" s="1"/>
  <c r="AG39" i="7"/>
  <c r="AG18" i="7" s="1"/>
  <c r="Z41" i="7"/>
  <c r="R41" i="7"/>
  <c r="J41" i="7"/>
  <c r="L39" i="7"/>
  <c r="L18" i="7" s="1"/>
  <c r="L91" i="7" s="1"/>
  <c r="L40" i="7"/>
  <c r="Z40" i="7"/>
  <c r="AG42" i="7"/>
  <c r="Y42" i="7"/>
  <c r="Q42" i="7"/>
  <c r="I42" i="7"/>
  <c r="O40" i="7"/>
  <c r="AA39" i="7"/>
  <c r="AA18" i="7" s="1"/>
  <c r="AD42" i="7"/>
  <c r="V42" i="7"/>
  <c r="N42" i="7"/>
  <c r="F42" i="7"/>
  <c r="U39" i="7"/>
  <c r="U18" i="7" s="1"/>
  <c r="S40" i="7"/>
  <c r="AC39" i="7"/>
  <c r="AC18" i="7" s="1"/>
  <c r="AD41" i="7"/>
  <c r="V41" i="7"/>
  <c r="N41" i="7"/>
  <c r="F41" i="7"/>
  <c r="D40" i="7"/>
  <c r="T40" i="7"/>
  <c r="AD40" i="7"/>
  <c r="AC42" i="7"/>
  <c r="U42" i="7"/>
  <c r="M42" i="7"/>
  <c r="E42" i="7"/>
  <c r="V39" i="7"/>
  <c r="V18" i="7" s="1"/>
  <c r="E40" i="7"/>
  <c r="U40" i="7"/>
  <c r="AD39" i="7"/>
  <c r="AD18" i="7" s="1"/>
  <c r="AB42" i="7"/>
  <c r="T42" i="7"/>
  <c r="L42" i="7"/>
  <c r="D42" i="7"/>
  <c r="G40" i="7"/>
  <c r="W40" i="7"/>
  <c r="AG40" i="7"/>
  <c r="Z42" i="7"/>
  <c r="R42" i="7"/>
  <c r="J42" i="7"/>
  <c r="K39" i="7"/>
  <c r="K18" i="7" s="1"/>
  <c r="K91" i="7" s="1"/>
  <c r="H52" i="4"/>
  <c r="D24" i="5"/>
  <c r="L40" i="1"/>
  <c r="I40" i="1"/>
  <c r="L32" i="1"/>
  <c r="I32" i="1"/>
  <c r="L24" i="1"/>
  <c r="I24" i="1"/>
  <c r="L49" i="1"/>
  <c r="I49" i="1"/>
  <c r="L41" i="1"/>
  <c r="I41" i="1"/>
  <c r="L25" i="1"/>
  <c r="I25" i="1"/>
  <c r="L17" i="1"/>
  <c r="I17" i="1"/>
  <c r="L42" i="1"/>
  <c r="I42" i="1"/>
  <c r="J34" i="1"/>
  <c r="I34" i="1"/>
  <c r="L26" i="1"/>
  <c r="I26" i="1"/>
  <c r="J18" i="1"/>
  <c r="I18" i="1"/>
  <c r="J51" i="1"/>
  <c r="I51" i="1"/>
  <c r="J35" i="1"/>
  <c r="I35" i="1"/>
  <c r="J19" i="1"/>
  <c r="I19" i="1"/>
  <c r="J12" i="1"/>
  <c r="J52" i="1"/>
  <c r="I52" i="1"/>
  <c r="J36" i="1"/>
  <c r="I36" i="1"/>
  <c r="L45" i="1"/>
  <c r="I45" i="1"/>
  <c r="L37" i="1"/>
  <c r="I37" i="1"/>
  <c r="L29" i="1"/>
  <c r="I29" i="1"/>
  <c r="J21" i="1"/>
  <c r="I21" i="1"/>
  <c r="L13" i="1"/>
  <c r="I13" i="1"/>
  <c r="J39" i="1"/>
  <c r="I39" i="1"/>
  <c r="J23" i="1"/>
  <c r="I23" i="1"/>
  <c r="L44" i="1"/>
  <c r="I44" i="1"/>
  <c r="L28" i="1"/>
  <c r="I28" i="1"/>
  <c r="L20" i="1"/>
  <c r="I20" i="1"/>
  <c r="J38" i="1"/>
  <c r="I38" i="1"/>
  <c r="J22" i="1"/>
  <c r="I22" i="1"/>
  <c r="J48" i="1"/>
  <c r="J40" i="1"/>
  <c r="F54" i="1"/>
  <c r="L36" i="1"/>
  <c r="L12" i="1"/>
  <c r="J49" i="1"/>
  <c r="J45" i="1"/>
  <c r="J41" i="1"/>
  <c r="J24" i="1"/>
  <c r="J29" i="1"/>
  <c r="L52" i="1"/>
  <c r="J15" i="1"/>
  <c r="J26" i="1"/>
  <c r="L16" i="1"/>
  <c r="J17" i="1"/>
  <c r="J44" i="1"/>
  <c r="J16" i="1"/>
  <c r="J31" i="1"/>
  <c r="L48" i="1"/>
  <c r="J27" i="1"/>
  <c r="J47" i="1"/>
  <c r="J32" i="1"/>
  <c r="L33" i="1"/>
  <c r="J11" i="1"/>
  <c r="I11" i="1"/>
  <c r="L11" i="1" s="1"/>
  <c r="L21" i="1"/>
  <c r="J43" i="1"/>
  <c r="J42" i="1"/>
  <c r="L50" i="1"/>
  <c r="L34" i="1"/>
  <c r="J30" i="1"/>
  <c r="J50" i="1"/>
  <c r="L51" i="1"/>
  <c r="L47" i="1"/>
  <c r="L43" i="1"/>
  <c r="L39" i="1"/>
  <c r="L35" i="1"/>
  <c r="L31" i="1"/>
  <c r="L27" i="1"/>
  <c r="L23" i="1"/>
  <c r="L19" i="1"/>
  <c r="L15" i="1"/>
  <c r="L38" i="1"/>
  <c r="L18" i="1"/>
  <c r="J14" i="1"/>
  <c r="J46" i="1"/>
  <c r="L46" i="1"/>
  <c r="L30" i="1"/>
  <c r="L14" i="1"/>
  <c r="M53" i="1"/>
  <c r="L22" i="1"/>
  <c r="L15" i="3"/>
  <c r="L21" i="3"/>
  <c r="R34" i="7"/>
  <c r="D13" i="5"/>
  <c r="D21" i="5"/>
  <c r="D11" i="5"/>
  <c r="D16" i="5"/>
  <c r="D9" i="5"/>
  <c r="D12" i="5"/>
  <c r="D22" i="5"/>
  <c r="D10" i="5"/>
  <c r="D23" i="5"/>
  <c r="D18" i="5"/>
  <c r="D14" i="5"/>
  <c r="D19" i="5"/>
  <c r="D17" i="5"/>
  <c r="D20" i="5"/>
  <c r="D15" i="5"/>
  <c r="F65" i="6"/>
  <c r="F66" i="6" s="1"/>
  <c r="F67" i="6" s="1"/>
  <c r="C84" i="4"/>
  <c r="I51" i="4"/>
  <c r="C5" i="2"/>
  <c r="H5" i="2"/>
  <c r="L31" i="3"/>
  <c r="M35" i="3"/>
  <c r="D8" i="7" s="1"/>
  <c r="L29" i="3"/>
  <c r="L23" i="3"/>
  <c r="N35" i="3"/>
  <c r="D9" i="7" s="1"/>
  <c r="E9" i="7" s="1"/>
  <c r="F9" i="7" s="1"/>
  <c r="G9" i="7" s="1"/>
  <c r="H9" i="7" s="1"/>
  <c r="I9" i="7" s="1"/>
  <c r="J9" i="7" s="1"/>
  <c r="K9" i="7" s="1"/>
  <c r="L9" i="7" s="1"/>
  <c r="M9" i="7" s="1"/>
  <c r="N9" i="7" s="1"/>
  <c r="O9" i="7" s="1"/>
  <c r="P9" i="7" s="1"/>
  <c r="Q9" i="7" s="1"/>
  <c r="R9" i="7" s="1"/>
  <c r="S9" i="7" s="1"/>
  <c r="T9" i="7" s="1"/>
  <c r="U9" i="7" s="1"/>
  <c r="V9" i="7" s="1"/>
  <c r="W9" i="7" s="1"/>
  <c r="X9" i="7" s="1"/>
  <c r="Y9" i="7" s="1"/>
  <c r="Z9" i="7" s="1"/>
  <c r="AA9" i="7" s="1"/>
  <c r="AB9" i="7" s="1"/>
  <c r="AC9" i="7" s="1"/>
  <c r="AD9" i="7" s="1"/>
  <c r="AE9" i="7" s="1"/>
  <c r="AF9" i="7" s="1"/>
  <c r="AG9" i="7" s="1"/>
  <c r="C52" i="4"/>
  <c r="C67" i="4" s="1"/>
  <c r="C82" i="4" s="1"/>
  <c r="B40" i="11" s="1"/>
  <c r="Z87" i="7"/>
  <c r="E86" i="7"/>
  <c r="E87" i="7"/>
  <c r="I85" i="7"/>
  <c r="Z85" i="7"/>
  <c r="AF84" i="7"/>
  <c r="AF23" i="7" s="1"/>
  <c r="AF85" i="7"/>
  <c r="AF86" i="7"/>
  <c r="AF87" i="7"/>
  <c r="O85" i="7"/>
  <c r="S86" i="7"/>
  <c r="W87" i="7"/>
  <c r="N84" i="7"/>
  <c r="N23" i="7" s="1"/>
  <c r="U48" i="7"/>
  <c r="O50" i="7"/>
  <c r="J49" i="7"/>
  <c r="E48" i="7"/>
  <c r="D63" i="4"/>
  <c r="U85" i="7"/>
  <c r="I87" i="7"/>
  <c r="L27" i="3"/>
  <c r="L19" i="3"/>
  <c r="Q84" i="7"/>
  <c r="Q23" i="7" s="1"/>
  <c r="M86" i="7"/>
  <c r="Y84" i="7"/>
  <c r="Y23" i="7" s="1"/>
  <c r="Y28" i="7" s="1"/>
  <c r="Y32" i="7" s="1"/>
  <c r="O84" i="7"/>
  <c r="O23" i="7" s="1"/>
  <c r="H84" i="7"/>
  <c r="H23" i="7" s="1"/>
  <c r="M87" i="7"/>
  <c r="Q85" i="7"/>
  <c r="I86" i="7"/>
  <c r="AB84" i="7"/>
  <c r="AB23" i="7" s="1"/>
  <c r="AB85" i="7"/>
  <c r="AB86" i="7"/>
  <c r="AB87" i="7"/>
  <c r="K85" i="7"/>
  <c r="O86" i="7"/>
  <c r="S87" i="7"/>
  <c r="P84" i="7"/>
  <c r="P23" i="7" s="1"/>
  <c r="V49" i="7"/>
  <c r="Q48" i="7"/>
  <c r="K50" i="7"/>
  <c r="F49" i="7"/>
  <c r="I51" i="7"/>
  <c r="I19" i="7" s="1"/>
  <c r="H59" i="4"/>
  <c r="M85" i="7"/>
  <c r="L13" i="3"/>
  <c r="L28" i="3"/>
  <c r="L20" i="3"/>
  <c r="M51" i="7"/>
  <c r="M19" i="7" s="1"/>
  <c r="M84" i="7"/>
  <c r="M23" i="7" s="1"/>
  <c r="AC86" i="7"/>
  <c r="AG84" i="7"/>
  <c r="AG23" i="7" s="1"/>
  <c r="Q86" i="7"/>
  <c r="G84" i="7"/>
  <c r="G23" i="7" s="1"/>
  <c r="AC87" i="7"/>
  <c r="AG85" i="7"/>
  <c r="F87" i="7"/>
  <c r="T85" i="7"/>
  <c r="T86" i="7"/>
  <c r="T87" i="7"/>
  <c r="AE84" i="7"/>
  <c r="AE23" i="7" s="1"/>
  <c r="G86" i="7"/>
  <c r="K87" i="7"/>
  <c r="R84" i="7"/>
  <c r="R23" i="7" s="1"/>
  <c r="W49" i="7"/>
  <c r="R48" i="7"/>
  <c r="L50" i="7"/>
  <c r="G49" i="7"/>
  <c r="G51" i="7"/>
  <c r="G19" i="7" s="1"/>
  <c r="R86" i="7"/>
  <c r="J52" i="2"/>
  <c r="O11" i="3" s="1"/>
  <c r="F36" i="3" s="1"/>
  <c r="L30" i="3"/>
  <c r="L22" i="3"/>
  <c r="L14" i="3"/>
  <c r="O51" i="7"/>
  <c r="O19" i="7" s="1"/>
  <c r="I57" i="7"/>
  <c r="I20" i="7" s="1"/>
  <c r="I92" i="7" s="1"/>
  <c r="F72" i="4"/>
  <c r="R87" i="7"/>
  <c r="N85" i="7"/>
  <c r="N87" i="7"/>
  <c r="K84" i="7"/>
  <c r="K23" i="7" s="1"/>
  <c r="N86" i="7"/>
  <c r="S84" i="7"/>
  <c r="S23" i="7" s="1"/>
  <c r="S92" i="7" s="1"/>
  <c r="L85" i="7"/>
  <c r="L86" i="7"/>
  <c r="L87" i="7"/>
  <c r="E84" i="7"/>
  <c r="E23" i="7" s="1"/>
  <c r="AA85" i="7"/>
  <c r="AE86" i="7"/>
  <c r="F84" i="7"/>
  <c r="F23" i="7" s="1"/>
  <c r="S50" i="7"/>
  <c r="N49" i="7"/>
  <c r="I48" i="7"/>
  <c r="E51" i="7"/>
  <c r="E19" i="7" s="1"/>
  <c r="AD84" i="7"/>
  <c r="AD23" i="7" s="1"/>
  <c r="AG87" i="7"/>
  <c r="L32" i="3"/>
  <c r="L24" i="3"/>
  <c r="L16" i="3"/>
  <c r="D58" i="7"/>
  <c r="O57" i="7"/>
  <c r="O20" i="7" s="1"/>
  <c r="V85" i="7"/>
  <c r="H86" i="7"/>
  <c r="I84" i="7"/>
  <c r="I23" i="7" s="1"/>
  <c r="AA86" i="7"/>
  <c r="J84" i="7"/>
  <c r="J23" i="7" s="1"/>
  <c r="Y87" i="7"/>
  <c r="L33" i="3"/>
  <c r="L25" i="3"/>
  <c r="L17" i="3"/>
  <c r="R51" i="7"/>
  <c r="R19" i="7" s="1"/>
  <c r="AD87" i="7"/>
  <c r="V86" i="7"/>
  <c r="J85" i="7"/>
  <c r="H85" i="7"/>
  <c r="H87" i="7"/>
  <c r="W85" i="7"/>
  <c r="AE87" i="7"/>
  <c r="T49" i="7"/>
  <c r="O48" i="7"/>
  <c r="I50" i="7"/>
  <c r="V84" i="7"/>
  <c r="V23" i="7" s="1"/>
  <c r="AD85" i="7"/>
  <c r="AD86" i="7"/>
  <c r="Z84" i="7"/>
  <c r="Z23" i="7" s="1"/>
  <c r="D84" i="7"/>
  <c r="D23" i="7" s="1"/>
  <c r="R85" i="7"/>
  <c r="D85" i="7"/>
  <c r="D86" i="7"/>
  <c r="D87" i="7"/>
  <c r="W84" i="7"/>
  <c r="W23" i="7" s="1"/>
  <c r="S85" i="7"/>
  <c r="W86" i="7"/>
  <c r="AA87" i="7"/>
  <c r="L84" i="7"/>
  <c r="L23" i="7" s="1"/>
  <c r="T50" i="7"/>
  <c r="O49" i="7"/>
  <c r="J48" i="7"/>
  <c r="D50" i="7"/>
  <c r="AC85" i="7"/>
  <c r="Q87" i="7"/>
  <c r="L34" i="3"/>
  <c r="L26" i="3"/>
  <c r="R57" i="7"/>
  <c r="R20" i="7" s="1"/>
  <c r="R92" i="7" s="1"/>
  <c r="Q39" i="7"/>
  <c r="Q18" i="7" s="1"/>
  <c r="Q91" i="7" s="1"/>
  <c r="E57" i="7"/>
  <c r="E20" i="7" s="1"/>
  <c r="E92" i="7"/>
  <c r="V91" i="7"/>
  <c r="O92" i="7"/>
  <c r="F92" i="7"/>
  <c r="U91" i="7"/>
  <c r="T91" i="7"/>
  <c r="E91" i="7"/>
  <c r="V92" i="7"/>
  <c r="G58" i="7"/>
  <c r="O58" i="7"/>
  <c r="W58" i="7"/>
  <c r="AA58" i="7"/>
  <c r="AD58" i="7"/>
  <c r="AD60" i="7"/>
  <c r="Z60" i="7"/>
  <c r="V60" i="7"/>
  <c r="R60" i="7"/>
  <c r="N60" i="7"/>
  <c r="J60" i="7"/>
  <c r="F60" i="7"/>
  <c r="M57" i="7"/>
  <c r="M20" i="7" s="1"/>
  <c r="V50" i="7"/>
  <c r="T48" i="7"/>
  <c r="Q49" i="7"/>
  <c r="N50" i="7"/>
  <c r="L48" i="7"/>
  <c r="I49" i="7"/>
  <c r="F50" i="7"/>
  <c r="F40" i="7"/>
  <c r="N40" i="7"/>
  <c r="V40" i="7"/>
  <c r="AA40" i="7"/>
  <c r="AE40" i="7"/>
  <c r="AG41" i="7"/>
  <c r="AC41" i="7"/>
  <c r="Y41" i="7"/>
  <c r="U41" i="7"/>
  <c r="Q41" i="7"/>
  <c r="M41" i="7"/>
  <c r="I41" i="7"/>
  <c r="E41" i="7"/>
  <c r="V51" i="7"/>
  <c r="V19" i="7" s="1"/>
  <c r="V28" i="7" s="1"/>
  <c r="V32" i="7" s="1"/>
  <c r="F58" i="7"/>
  <c r="N58" i="7"/>
  <c r="V58" i="7"/>
  <c r="Z57" i="7"/>
  <c r="Z20" i="7" s="1"/>
  <c r="Z28" i="7" s="1"/>
  <c r="Z32" i="7" s="1"/>
  <c r="AC57" i="7"/>
  <c r="AC20" i="7" s="1"/>
  <c r="AC28" i="7" s="1"/>
  <c r="AC32" i="7" s="1"/>
  <c r="AG58" i="7"/>
  <c r="AE59" i="7"/>
  <c r="AA59" i="7"/>
  <c r="W59" i="7"/>
  <c r="S59" i="7"/>
  <c r="O59" i="7"/>
  <c r="K59" i="7"/>
  <c r="G59" i="7"/>
  <c r="S39" i="7"/>
  <c r="S18" i="7" s="1"/>
  <c r="W39" i="7"/>
  <c r="W18" i="7" s="1"/>
  <c r="R39" i="7"/>
  <c r="R18" i="7" s="1"/>
  <c r="P57" i="7"/>
  <c r="P20" i="7" s="1"/>
  <c r="P51" i="7"/>
  <c r="P19" i="7" s="1"/>
  <c r="J57" i="7"/>
  <c r="J20" i="7" s="1"/>
  <c r="J51" i="7"/>
  <c r="J19" i="7" s="1"/>
  <c r="G39" i="7"/>
  <c r="G18" i="7" s="1"/>
  <c r="D39" i="7"/>
  <c r="D18" i="7" s="1"/>
  <c r="K58" i="7"/>
  <c r="AB57" i="7"/>
  <c r="AB20" i="7" s="1"/>
  <c r="AB60" i="7"/>
  <c r="P60" i="7"/>
  <c r="D60" i="7"/>
  <c r="N39" i="7"/>
  <c r="N18" i="7" s="1"/>
  <c r="G57" i="7"/>
  <c r="G20" i="7" s="1"/>
  <c r="G92" i="7" s="1"/>
  <c r="W50" i="7"/>
  <c r="U49" i="7"/>
  <c r="R50" i="7"/>
  <c r="P48" i="7"/>
  <c r="M49" i="7"/>
  <c r="J50" i="7"/>
  <c r="H48" i="7"/>
  <c r="E49" i="7"/>
  <c r="J40" i="7"/>
  <c r="R40" i="7"/>
  <c r="Y40" i="7"/>
  <c r="AC40" i="7"/>
  <c r="AF39" i="7"/>
  <c r="AF18" i="7" s="1"/>
  <c r="AE41" i="7"/>
  <c r="AA41" i="7"/>
  <c r="W41" i="7"/>
  <c r="S41" i="7"/>
  <c r="O41" i="7"/>
  <c r="K41" i="7"/>
  <c r="G41" i="7"/>
  <c r="U51" i="7"/>
  <c r="U19" i="7" s="1"/>
  <c r="W51" i="7"/>
  <c r="W19" i="7" s="1"/>
  <c r="J58" i="7"/>
  <c r="R58" i="7"/>
  <c r="Y58" i="7"/>
  <c r="AB58" i="7"/>
  <c r="AG59" i="7"/>
  <c r="AC59" i="7"/>
  <c r="Y59" i="7"/>
  <c r="U59" i="7"/>
  <c r="Q59" i="7"/>
  <c r="M59" i="7"/>
  <c r="I59" i="7"/>
  <c r="E59" i="7"/>
  <c r="T57" i="7"/>
  <c r="T20" i="7" s="1"/>
  <c r="T92" i="7" s="1"/>
  <c r="Q57" i="7"/>
  <c r="Q20" i="7" s="1"/>
  <c r="Q92" i="7" s="1"/>
  <c r="H39" i="7"/>
  <c r="H18" i="7" s="1"/>
  <c r="F39" i="7"/>
  <c r="F18" i="7" s="1"/>
  <c r="D51" i="7"/>
  <c r="S58" i="7"/>
  <c r="AE57" i="7"/>
  <c r="AE20" i="7" s="1"/>
  <c r="X60" i="7"/>
  <c r="L60" i="7"/>
  <c r="W57" i="7"/>
  <c r="W20" i="7" s="1"/>
  <c r="W92" i="7" s="1"/>
  <c r="U50" i="7"/>
  <c r="S48" i="7"/>
  <c r="P49" i="7"/>
  <c r="M50" i="7"/>
  <c r="K48" i="7"/>
  <c r="H49" i="7"/>
  <c r="E50" i="7"/>
  <c r="I40" i="7"/>
  <c r="Q40" i="7"/>
  <c r="X39" i="7"/>
  <c r="X18" i="7" s="1"/>
  <c r="AB39" i="7"/>
  <c r="AB18" i="7" s="1"/>
  <c r="AF40" i="7"/>
  <c r="AE42" i="7"/>
  <c r="AA42" i="7"/>
  <c r="W42" i="7"/>
  <c r="S42" i="7"/>
  <c r="O42" i="7"/>
  <c r="K42" i="7"/>
  <c r="G42" i="7"/>
  <c r="D48" i="7"/>
  <c r="T51" i="7"/>
  <c r="T19" i="7" s="1"/>
  <c r="I58" i="7"/>
  <c r="Q58" i="7"/>
  <c r="X57" i="7"/>
  <c r="X20" i="7" s="1"/>
  <c r="AA57" i="7"/>
  <c r="AA20" i="7" s="1"/>
  <c r="AA28" i="7" s="1"/>
  <c r="AA32" i="7" s="1"/>
  <c r="AE58" i="7"/>
  <c r="AG60" i="7"/>
  <c r="AC60" i="7"/>
  <c r="Y60" i="7"/>
  <c r="U60" i="7"/>
  <c r="Q60" i="7"/>
  <c r="M60" i="7"/>
  <c r="I60" i="7"/>
  <c r="E60" i="7"/>
  <c r="N57" i="7"/>
  <c r="N20" i="7" s="1"/>
  <c r="N51" i="7"/>
  <c r="N19" i="7" s="1"/>
  <c r="M39" i="7"/>
  <c r="M18" i="7" s="1"/>
  <c r="K57" i="7"/>
  <c r="K20" i="7" s="1"/>
  <c r="K92" i="7" s="1"/>
  <c r="AF60" i="7"/>
  <c r="T60" i="7"/>
  <c r="H60" i="7"/>
  <c r="L57" i="7"/>
  <c r="L20" i="7" s="1"/>
  <c r="L92" i="7" s="1"/>
  <c r="D57" i="7"/>
  <c r="D20" i="7" s="1"/>
  <c r="D92" i="7" s="1"/>
  <c r="V48" i="7"/>
  <c r="S49" i="7"/>
  <c r="P50" i="7"/>
  <c r="N48" i="7"/>
  <c r="K49" i="7"/>
  <c r="H50" i="7"/>
  <c r="F48" i="7"/>
  <c r="D49" i="7"/>
  <c r="H40" i="7"/>
  <c r="P40" i="7"/>
  <c r="X40" i="7"/>
  <c r="AB40" i="7"/>
  <c r="AE39" i="7"/>
  <c r="AE18" i="7" s="1"/>
  <c r="AF41" i="7"/>
  <c r="AB41" i="7"/>
  <c r="X41" i="7"/>
  <c r="T41" i="7"/>
  <c r="P41" i="7"/>
  <c r="L41" i="7"/>
  <c r="H41" i="7"/>
  <c r="D41" i="7"/>
  <c r="H58" i="7"/>
  <c r="P58" i="7"/>
  <c r="X58" i="7"/>
  <c r="AD57" i="7"/>
  <c r="AD20" i="7" s="1"/>
  <c r="AD28" i="7" s="1"/>
  <c r="AD32" i="7" s="1"/>
  <c r="AG57" i="7"/>
  <c r="AG20" i="7" s="1"/>
  <c r="AD59" i="7"/>
  <c r="Z59" i="7"/>
  <c r="V59" i="7"/>
  <c r="R59" i="7"/>
  <c r="N59" i="7"/>
  <c r="J59" i="7"/>
  <c r="F59" i="7"/>
  <c r="U57" i="7"/>
  <c r="U20" i="7" s="1"/>
  <c r="U92" i="7" s="1"/>
  <c r="Q51" i="7"/>
  <c r="Q19" i="7" s="1"/>
  <c r="P39" i="7"/>
  <c r="P18" i="7" s="1"/>
  <c r="J39" i="7"/>
  <c r="J18" i="7" s="1"/>
  <c r="I39" i="7"/>
  <c r="I18" i="7" s="1"/>
  <c r="H57" i="7"/>
  <c r="H20" i="7" s="1"/>
  <c r="H92" i="7" s="1"/>
  <c r="O28" i="7" l="1"/>
  <c r="O32" i="7" s="1"/>
  <c r="N92" i="7"/>
  <c r="K51" i="4"/>
  <c r="K50" i="4"/>
  <c r="I53" i="1"/>
  <c r="J53" i="1"/>
  <c r="L53" i="1"/>
  <c r="L54" i="1" s="1"/>
  <c r="K55" i="1" s="1"/>
  <c r="D27" i="5"/>
  <c r="D15" i="7"/>
  <c r="E15" i="7" s="1"/>
  <c r="F15" i="7" s="1"/>
  <c r="G15" i="7" s="1"/>
  <c r="H15" i="7" s="1"/>
  <c r="I15" i="7" s="1"/>
  <c r="J15" i="7" s="1"/>
  <c r="K15" i="7" s="1"/>
  <c r="L15" i="7" s="1"/>
  <c r="M15" i="7" s="1"/>
  <c r="N15" i="7" s="1"/>
  <c r="O15" i="7" s="1"/>
  <c r="P15" i="7" s="1"/>
  <c r="Q15" i="7" s="1"/>
  <c r="R15" i="7" s="1"/>
  <c r="S15" i="7" s="1"/>
  <c r="T15" i="7" s="1"/>
  <c r="U15" i="7" s="1"/>
  <c r="V15" i="7" s="1"/>
  <c r="W15" i="7" s="1"/>
  <c r="X15" i="7" s="1"/>
  <c r="Y15" i="7" s="1"/>
  <c r="Z15" i="7" s="1"/>
  <c r="AA15" i="7" s="1"/>
  <c r="AB15" i="7" s="1"/>
  <c r="AC15" i="7" s="1"/>
  <c r="AD15" i="7" s="1"/>
  <c r="AE15" i="7" s="1"/>
  <c r="AF15" i="7" s="1"/>
  <c r="AG15" i="7" s="1"/>
  <c r="E28" i="7"/>
  <c r="E32" i="7" s="1"/>
  <c r="F69" i="6"/>
  <c r="F73" i="6" s="1"/>
  <c r="C28" i="5"/>
  <c r="B28" i="5" s="1"/>
  <c r="C72" i="4"/>
  <c r="F57" i="1" s="1"/>
  <c r="F74" i="4"/>
  <c r="F76" i="4" s="1"/>
  <c r="H47" i="7"/>
  <c r="AG28" i="7"/>
  <c r="AG32" i="7" s="1"/>
  <c r="T28" i="7"/>
  <c r="T32" i="7" s="1"/>
  <c r="K28" i="7"/>
  <c r="K32" i="7" s="1"/>
  <c r="D12" i="7"/>
  <c r="E8" i="7"/>
  <c r="Q28" i="7"/>
  <c r="Q32" i="7" s="1"/>
  <c r="P92" i="7"/>
  <c r="U28" i="7"/>
  <c r="U32" i="7" s="1"/>
  <c r="AF28" i="7"/>
  <c r="AF32" i="7" s="1"/>
  <c r="M92" i="7"/>
  <c r="J92" i="7"/>
  <c r="M91" i="7"/>
  <c r="M28" i="7"/>
  <c r="M32" i="7" s="1"/>
  <c r="D91" i="7"/>
  <c r="S28" i="7"/>
  <c r="S32" i="7" s="1"/>
  <c r="S91" i="7"/>
  <c r="W28" i="7"/>
  <c r="W32" i="7" s="1"/>
  <c r="W91" i="7"/>
  <c r="R28" i="7"/>
  <c r="R32" i="7" s="1"/>
  <c r="R91" i="7"/>
  <c r="H28" i="7"/>
  <c r="H32" i="7" s="1"/>
  <c r="H91" i="7"/>
  <c r="J28" i="7"/>
  <c r="J32" i="7" s="1"/>
  <c r="J91" i="7"/>
  <c r="AE28" i="7"/>
  <c r="AE32" i="7" s="1"/>
  <c r="X28" i="7"/>
  <c r="X32" i="7" s="1"/>
  <c r="G91" i="7"/>
  <c r="G28" i="7"/>
  <c r="G32" i="7" s="1"/>
  <c r="P28" i="7"/>
  <c r="P32" i="7" s="1"/>
  <c r="P91" i="7"/>
  <c r="I91" i="7"/>
  <c r="I28" i="7"/>
  <c r="I32" i="7" s="1"/>
  <c r="F28" i="7"/>
  <c r="F32" i="7" s="1"/>
  <c r="F91" i="7"/>
  <c r="D19" i="7"/>
  <c r="D28" i="7" s="1"/>
  <c r="G46" i="7"/>
  <c r="N91" i="7"/>
  <c r="N28" i="7"/>
  <c r="N32" i="7" s="1"/>
  <c r="AB28" i="7"/>
  <c r="AB32" i="7" s="1"/>
  <c r="L28" i="7"/>
  <c r="L32" i="7" s="1"/>
  <c r="D55" i="4" l="1"/>
  <c r="I54" i="1"/>
  <c r="C32" i="5"/>
  <c r="C35" i="5" s="1"/>
  <c r="E30" i="5" s="1"/>
  <c r="L56" i="1"/>
  <c r="F74" i="6"/>
  <c r="F75" i="6" s="1"/>
  <c r="F76" i="6" s="1"/>
  <c r="C74" i="4"/>
  <c r="F8" i="7"/>
  <c r="E12" i="7"/>
  <c r="E13" i="7" s="1"/>
  <c r="E14" i="7" s="1"/>
  <c r="E17" i="7" s="1"/>
  <c r="E90" i="7" s="1"/>
  <c r="E93" i="7" s="1"/>
  <c r="F56" i="1"/>
  <c r="F55" i="1"/>
  <c r="D13" i="7"/>
  <c r="D14" i="7" s="1"/>
  <c r="D17" i="7" s="1"/>
  <c r="D29" i="7" s="1"/>
  <c r="H62" i="4"/>
  <c r="D64" i="4" s="1"/>
  <c r="D32" i="7"/>
  <c r="E29" i="7" l="1"/>
  <c r="G8" i="7"/>
  <c r="F12" i="7"/>
  <c r="F13" i="7" s="1"/>
  <c r="F14" i="7" s="1"/>
  <c r="F17" i="7" s="1"/>
  <c r="C76" i="4"/>
  <c r="F78" i="4"/>
  <c r="C78" i="4" s="1"/>
  <c r="D31" i="7"/>
  <c r="D90" i="7"/>
  <c r="D93" i="7" s="1"/>
  <c r="E31" i="7"/>
  <c r="G12" i="7" l="1"/>
  <c r="G13" i="7" s="1"/>
  <c r="G14" i="7" s="1"/>
  <c r="G17" i="7" s="1"/>
  <c r="H8" i="7"/>
  <c r="I57" i="1"/>
  <c r="E40" i="11"/>
  <c r="F90" i="7"/>
  <c r="F93" i="7" s="1"/>
  <c r="F31" i="7"/>
  <c r="F29" i="7"/>
  <c r="H12" i="7" l="1"/>
  <c r="H13" i="7" s="1"/>
  <c r="H14" i="7" s="1"/>
  <c r="H17" i="7" s="1"/>
  <c r="I8" i="7"/>
  <c r="I56" i="1"/>
  <c r="I55" i="1"/>
  <c r="G90" i="7"/>
  <c r="G93" i="7" s="1"/>
  <c r="G31" i="7"/>
  <c r="G29" i="7"/>
  <c r="H31" i="7" l="1"/>
  <c r="H29" i="7"/>
  <c r="H90" i="7"/>
  <c r="H93" i="7" s="1"/>
  <c r="I12" i="7"/>
  <c r="J8" i="7"/>
  <c r="I13" i="7" l="1"/>
  <c r="I14" i="7" s="1"/>
  <c r="I17" i="7" s="1"/>
  <c r="J12" i="7"/>
  <c r="K8" i="7"/>
  <c r="I90" i="7" l="1"/>
  <c r="I93" i="7" s="1"/>
  <c r="I29" i="7"/>
  <c r="I31" i="7"/>
  <c r="J13" i="7"/>
  <c r="J14" i="7" s="1"/>
  <c r="J17" i="7" s="1"/>
  <c r="L8" i="7"/>
  <c r="K12" i="7"/>
  <c r="J31" i="7" l="1"/>
  <c r="J29" i="7"/>
  <c r="J90" i="7"/>
  <c r="J93" i="7" s="1"/>
  <c r="K13" i="7"/>
  <c r="K14" i="7" s="1"/>
  <c r="K17" i="7" s="1"/>
  <c r="L12" i="7"/>
  <c r="M8" i="7"/>
  <c r="K31" i="7" l="1"/>
  <c r="K29" i="7"/>
  <c r="K90" i="7"/>
  <c r="K93" i="7" s="1"/>
  <c r="L13" i="7"/>
  <c r="L14" i="7" s="1"/>
  <c r="L17" i="7" s="1"/>
  <c r="N8" i="7"/>
  <c r="M12" i="7"/>
  <c r="L31" i="7" l="1"/>
  <c r="L29" i="7"/>
  <c r="L90" i="7"/>
  <c r="L93" i="7" s="1"/>
  <c r="O8" i="7"/>
  <c r="N12" i="7"/>
  <c r="N13" i="7" s="1"/>
  <c r="N14" i="7" s="1"/>
  <c r="N17" i="7" s="1"/>
  <c r="M13" i="7"/>
  <c r="M14" i="7" s="1"/>
  <c r="M17" i="7" s="1"/>
  <c r="M29" i="7" l="1"/>
  <c r="M33" i="7" s="1"/>
  <c r="N33" i="7" s="1"/>
  <c r="M90" i="7"/>
  <c r="M93" i="7" s="1"/>
  <c r="M31" i="7"/>
  <c r="O12" i="7"/>
  <c r="O13" i="7" s="1"/>
  <c r="O14" i="7" s="1"/>
  <c r="O17" i="7" s="1"/>
  <c r="P8" i="7"/>
  <c r="N31" i="7"/>
  <c r="N90" i="7"/>
  <c r="N93" i="7" s="1"/>
  <c r="N29" i="7"/>
  <c r="O31" i="7" l="1"/>
  <c r="O29" i="7"/>
  <c r="O90" i="7"/>
  <c r="O93" i="7" s="1"/>
  <c r="Q8" i="7"/>
  <c r="P12" i="7"/>
  <c r="P13" i="7" s="1"/>
  <c r="P14" i="7" s="1"/>
  <c r="P17" i="7" s="1"/>
  <c r="R8" i="7" l="1"/>
  <c r="Q12" i="7"/>
  <c r="Q13" i="7" s="1"/>
  <c r="Q14" i="7" s="1"/>
  <c r="Q17" i="7" s="1"/>
  <c r="P90" i="7"/>
  <c r="P93" i="7" s="1"/>
  <c r="P29" i="7"/>
  <c r="P31" i="7"/>
  <c r="Q90" i="7" l="1"/>
  <c r="Q93" i="7" s="1"/>
  <c r="Q31" i="7"/>
  <c r="Q29" i="7"/>
  <c r="S8" i="7"/>
  <c r="R12" i="7"/>
  <c r="R13" i="7" s="1"/>
  <c r="R14" i="7" s="1"/>
  <c r="R17" i="7" s="1"/>
  <c r="T8" i="7" l="1"/>
  <c r="S12" i="7"/>
  <c r="S13" i="7" s="1"/>
  <c r="S14" i="7" s="1"/>
  <c r="S17" i="7" s="1"/>
  <c r="R31" i="7"/>
  <c r="R90" i="7"/>
  <c r="R93" i="7" s="1"/>
  <c r="R29" i="7"/>
  <c r="R33" i="7" s="1"/>
  <c r="S33" i="7" s="1"/>
  <c r="U8" i="7" l="1"/>
  <c r="T12" i="7"/>
  <c r="S90" i="7"/>
  <c r="S93" i="7" s="1"/>
  <c r="S31" i="7"/>
  <c r="S29" i="7"/>
  <c r="T13" i="7" l="1"/>
  <c r="T14" i="7" s="1"/>
  <c r="T17" i="7" s="1"/>
  <c r="V8" i="7"/>
  <c r="U12" i="7"/>
  <c r="T29" i="7" l="1"/>
  <c r="T31" i="7"/>
  <c r="T90" i="7"/>
  <c r="T93" i="7" s="1"/>
  <c r="U13" i="7"/>
  <c r="U14" i="7" s="1"/>
  <c r="U17" i="7" s="1"/>
  <c r="V12" i="7"/>
  <c r="W8" i="7"/>
  <c r="U90" i="7" l="1"/>
  <c r="U93" i="7" s="1"/>
  <c r="U31" i="7"/>
  <c r="U29" i="7"/>
  <c r="V13" i="7"/>
  <c r="V14" i="7" s="1"/>
  <c r="V17" i="7" s="1"/>
  <c r="X8" i="7"/>
  <c r="W12" i="7"/>
  <c r="W13" i="7" s="1"/>
  <c r="W14" i="7" s="1"/>
  <c r="W17" i="7" s="1"/>
  <c r="V90" i="7" l="1"/>
  <c r="V93" i="7" s="1"/>
  <c r="V29" i="7"/>
  <c r="V31" i="7"/>
  <c r="W31" i="7"/>
  <c r="W29" i="7"/>
  <c r="W90" i="7"/>
  <c r="W93" i="7" s="1"/>
  <c r="X12" i="7"/>
  <c r="X13" i="7" s="1"/>
  <c r="X14" i="7" s="1"/>
  <c r="X17" i="7" s="1"/>
  <c r="Y8" i="7"/>
  <c r="X31" i="7" l="1"/>
  <c r="X29" i="7"/>
  <c r="Z8" i="7"/>
  <c r="Y12" i="7"/>
  <c r="Y13" i="7" s="1"/>
  <c r="Y14" i="7" s="1"/>
  <c r="Y17" i="7" s="1"/>
  <c r="Y31" i="7" l="1"/>
  <c r="Y29" i="7"/>
  <c r="Z12" i="7"/>
  <c r="Z13" i="7" s="1"/>
  <c r="Z14" i="7" s="1"/>
  <c r="Z17" i="7" s="1"/>
  <c r="AA8" i="7"/>
  <c r="AA12" i="7" l="1"/>
  <c r="AA13" i="7" s="1"/>
  <c r="AA14" i="7" s="1"/>
  <c r="AA17" i="7" s="1"/>
  <c r="AB8" i="7"/>
  <c r="Z31" i="7"/>
  <c r="Z29" i="7"/>
  <c r="AA29" i="7" l="1"/>
  <c r="AA31" i="7"/>
  <c r="AC8" i="7"/>
  <c r="AB12" i="7"/>
  <c r="AB13" i="7" s="1"/>
  <c r="AB14" i="7" s="1"/>
  <c r="AB17" i="7" s="1"/>
  <c r="AD8" i="7" l="1"/>
  <c r="AC12" i="7"/>
  <c r="AB31" i="7"/>
  <c r="AB29" i="7"/>
  <c r="AE8" i="7" l="1"/>
  <c r="AD12" i="7"/>
  <c r="AD13" i="7" s="1"/>
  <c r="AD14" i="7" s="1"/>
  <c r="AD17" i="7" s="1"/>
  <c r="AC13" i="7"/>
  <c r="AC14" i="7" s="1"/>
  <c r="AC17" i="7" s="1"/>
  <c r="AC31" i="7" l="1"/>
  <c r="AC29" i="7"/>
  <c r="AE12" i="7"/>
  <c r="AE13" i="7" s="1"/>
  <c r="AE14" i="7" s="1"/>
  <c r="AE17" i="7" s="1"/>
  <c r="AF8" i="7"/>
  <c r="AD29" i="7"/>
  <c r="AD31" i="7"/>
  <c r="AE31" i="7" l="1"/>
  <c r="AE29" i="7"/>
  <c r="AG8" i="7"/>
  <c r="AG12" i="7" s="1"/>
  <c r="AF12" i="7"/>
  <c r="AF13" i="7" s="1"/>
  <c r="AF14" i="7" s="1"/>
  <c r="AF17" i="7" s="1"/>
  <c r="AG13" i="7" l="1"/>
  <c r="AG14" i="7" s="1"/>
  <c r="AG17" i="7" s="1"/>
  <c r="AF31" i="7"/>
  <c r="AF29" i="7"/>
  <c r="AG29" i="7" l="1"/>
  <c r="AG31" i="7"/>
</calcChain>
</file>

<file path=xl/comments1.xml><?xml version="1.0" encoding="utf-8"?>
<comments xmlns="http://schemas.openxmlformats.org/spreadsheetml/2006/main">
  <authors>
    <author>claustin</author>
  </authors>
  <commentList>
    <comment ref="D45" authorId="0" shapeId="0">
      <text>
        <r>
          <rPr>
            <sz val="11"/>
            <color indexed="81"/>
            <rFont val="Times New Roman"/>
            <family val="1"/>
          </rPr>
          <t>For NCHFA use only</t>
        </r>
      </text>
    </comment>
  </commentList>
</comments>
</file>

<file path=xl/comments2.xml><?xml version="1.0" encoding="utf-8"?>
<comments xmlns="http://schemas.openxmlformats.org/spreadsheetml/2006/main">
  <authors>
    <author>claustin</author>
  </authors>
  <commentList>
    <comment ref="C64" authorId="0" shapeId="0">
      <text>
        <r>
          <rPr>
            <sz val="10"/>
            <color indexed="81"/>
            <rFont val="Times New Roman"/>
            <family val="1"/>
          </rPr>
          <t>Minimum Replacement Reserve
New: $250/unit
Adaptive Reuse: $350/unit
Rehab: $350/unit</t>
        </r>
      </text>
    </comment>
  </commentList>
</comments>
</file>

<file path=xl/sharedStrings.xml><?xml version="1.0" encoding="utf-8"?>
<sst xmlns="http://schemas.openxmlformats.org/spreadsheetml/2006/main" count="611" uniqueCount="557">
  <si>
    <t>Project Name:</t>
  </si>
  <si>
    <t>BIN</t>
  </si>
  <si>
    <t>Address of Building</t>
  </si>
  <si>
    <t>Eligible Basis</t>
  </si>
  <si>
    <t>Qualified Basis</t>
  </si>
  <si>
    <t>Credit Amount</t>
  </si>
  <si>
    <t>Credit</t>
  </si>
  <si>
    <t>New / Rehab</t>
  </si>
  <si>
    <t>Acquisition</t>
  </si>
  <si>
    <t>Placed in Service Date</t>
  </si>
  <si>
    <t>Acquistion</t>
  </si>
  <si>
    <t>Rate</t>
  </si>
  <si>
    <t>QCT / DDA</t>
  </si>
  <si>
    <t>Boost</t>
  </si>
  <si>
    <t>Note: Acquisition credits should be entered on a separate line from New / Rehab credits</t>
  </si>
  <si>
    <t>Sq Feet</t>
  </si>
  <si>
    <t>Rent</t>
  </si>
  <si>
    <t>Total</t>
  </si>
  <si>
    <t>Utility</t>
  </si>
  <si>
    <t>Allowance</t>
  </si>
  <si>
    <t>Units</t>
  </si>
  <si>
    <t># of Units</t>
  </si>
  <si>
    <t>Net</t>
  </si>
  <si>
    <t>Type*</t>
  </si>
  <si>
    <t>G = Garden</t>
  </si>
  <si>
    <t>T = Townhouse</t>
  </si>
  <si>
    <t>D = Duplex</t>
  </si>
  <si>
    <t>S = Single Family</t>
  </si>
  <si>
    <t>No</t>
  </si>
  <si>
    <t>Yes</t>
  </si>
  <si>
    <t>% of</t>
  </si>
  <si>
    <t>Median</t>
  </si>
  <si>
    <t>D</t>
  </si>
  <si>
    <t>G</t>
  </si>
  <si>
    <t>S</t>
  </si>
  <si>
    <t>T</t>
  </si>
  <si>
    <t>Unit Info</t>
  </si>
  <si>
    <t>Project #:</t>
  </si>
  <si>
    <t># BRs</t>
  </si>
  <si>
    <t>Eff</t>
  </si>
  <si>
    <t>County:</t>
  </si>
  <si>
    <t>Median Income:</t>
  </si>
  <si>
    <t>Project Development Costs</t>
  </si>
  <si>
    <t>30% PV</t>
  </si>
  <si>
    <t>70% PV</t>
  </si>
  <si>
    <t>Cost</t>
  </si>
  <si>
    <t>3.    On-site Improvements</t>
  </si>
  <si>
    <t>4.    Rehabilitation</t>
  </si>
  <si>
    <t>5.    Construction of New Building(s)</t>
  </si>
  <si>
    <t>6.    Accessory Building(s)</t>
  </si>
  <si>
    <t>7.    General Requirements (max 6% lines 2-6)</t>
  </si>
  <si>
    <t>8.    Contractor Overhead (max 2% lines 2-7)</t>
  </si>
  <si>
    <t>9.    Contractor Profit (max 8% lines 2-7; 6% if Identity of Interest)</t>
  </si>
  <si>
    <t>12.  Architect's Fee - Inspection</t>
  </si>
  <si>
    <t>6 Mos DS/OE</t>
  </si>
  <si>
    <t>Project Funding Sources</t>
  </si>
  <si>
    <t>Source</t>
  </si>
  <si>
    <t>Amount</t>
  </si>
  <si>
    <t>% of   Total</t>
  </si>
  <si>
    <t>Term</t>
  </si>
  <si>
    <t>Amort     Period</t>
  </si>
  <si>
    <t>Bank Loan</t>
  </si>
  <si>
    <t>RPP Loan</t>
  </si>
  <si>
    <t>Local Government Loan</t>
  </si>
  <si>
    <t>RD 515 Loan</t>
  </si>
  <si>
    <t>AHP Loan</t>
  </si>
  <si>
    <t>Other Loan</t>
  </si>
  <si>
    <t>State Tax Credit (Loan)</t>
  </si>
  <si>
    <t>State Tax Credit (Direct Refund)</t>
  </si>
  <si>
    <t>Non-Repayable Grant</t>
  </si>
  <si>
    <t>Historic Tax Credit</t>
  </si>
  <si>
    <t>Deferred Developer Fee</t>
  </si>
  <si>
    <t>Owner Investment</t>
  </si>
  <si>
    <t>Other</t>
  </si>
  <si>
    <t>Total Sources</t>
  </si>
  <si>
    <t>Admin Expenses</t>
  </si>
  <si>
    <t>Advertising</t>
  </si>
  <si>
    <t>Office Salaries</t>
  </si>
  <si>
    <t>Office Supplies</t>
  </si>
  <si>
    <t>Office or Model Apartment Rent</t>
  </si>
  <si>
    <t>Management Fee</t>
  </si>
  <si>
    <t>Manager or Superintendent Salaries</t>
  </si>
  <si>
    <t>Manager or Superintendent Rent Free Unit</t>
  </si>
  <si>
    <t>Legal Expenses (Project)</t>
  </si>
  <si>
    <t>Auditing Expenses (Project)</t>
  </si>
  <si>
    <t>Bookkeeping Fees / Accounting Services</t>
  </si>
  <si>
    <t>Telephone and Answering Service</t>
  </si>
  <si>
    <t>Bad Debts</t>
  </si>
  <si>
    <t>Other Administrative Expenses (specify)</t>
  </si>
  <si>
    <t>Utilities Expense</t>
  </si>
  <si>
    <t>Fuel / Oil / Coal</t>
  </si>
  <si>
    <t>Electricity (Light and Misc. Power)</t>
  </si>
  <si>
    <t>Water</t>
  </si>
  <si>
    <t>Gas</t>
  </si>
  <si>
    <t>Sewer</t>
  </si>
  <si>
    <t>Operating and Maintenance Expenses</t>
  </si>
  <si>
    <t>Janitor and Cleaning Payroll</t>
  </si>
  <si>
    <t>Janitor and Cleaning Supplies</t>
  </si>
  <si>
    <t>Janitor and Cleaning Contract</t>
  </si>
  <si>
    <t>Exterminating Payroll / Contract</t>
  </si>
  <si>
    <t>Exterminating Supplies</t>
  </si>
  <si>
    <t>Garbage and Trash Removal</t>
  </si>
  <si>
    <t xml:space="preserve">Security Payroll / Contract </t>
  </si>
  <si>
    <t>Grounds Payroll</t>
  </si>
  <si>
    <t>Grounds Supplies</t>
  </si>
  <si>
    <t>Grounds Contract</t>
  </si>
  <si>
    <t>Repairs Payroll</t>
  </si>
  <si>
    <t>Repairs Material</t>
  </si>
  <si>
    <t>Repairs Contract</t>
  </si>
  <si>
    <t>Elevator Maintenance / Contract</t>
  </si>
  <si>
    <t>Heating / Cooling Repairs and Maintenance</t>
  </si>
  <si>
    <t>Swimming Pool Maintenance / Contract</t>
  </si>
  <si>
    <t>Snow Removal</t>
  </si>
  <si>
    <t>Decorating Payroll / Contract</t>
  </si>
  <si>
    <t>Decorating Supplies</t>
  </si>
  <si>
    <t>Other (specify)</t>
  </si>
  <si>
    <t>Miscellaneous Operating &amp; Maintenance Expenses</t>
  </si>
  <si>
    <t>Taxes and Insurance</t>
  </si>
  <si>
    <t>Real Estate Taxes</t>
  </si>
  <si>
    <t>Payroll Taxes (FICA)</t>
  </si>
  <si>
    <t>Miscellaneous Taxes, Licenses and Permits</t>
  </si>
  <si>
    <t>Property and Liability Insurance (Hazard)</t>
  </si>
  <si>
    <t>Fidelity Bond Insurance</t>
  </si>
  <si>
    <t>Workmen's Compensation</t>
  </si>
  <si>
    <t>Health Insurance and Other Employee Benefits</t>
  </si>
  <si>
    <t>Other Insurance (specify)</t>
  </si>
  <si>
    <t>Supportive Service Expenses</t>
  </si>
  <si>
    <t>Service Coordinator</t>
  </si>
  <si>
    <t>Service Supplies</t>
  </si>
  <si>
    <t>Tenant Association Funds</t>
  </si>
  <si>
    <t>Other Expenses (specify)</t>
  </si>
  <si>
    <t>Reserves</t>
  </si>
  <si>
    <r>
      <t>Replacement Reserves</t>
    </r>
    <r>
      <rPr>
        <sz val="9"/>
        <rFont val="Times New Roman"/>
        <family val="1"/>
      </rPr>
      <t xml:space="preserve"> </t>
    </r>
  </si>
  <si>
    <t>Per Unit Cost of Operations</t>
  </si>
  <si>
    <t>Rental and Other Income</t>
  </si>
  <si>
    <t>Gross Rental Income</t>
  </si>
  <si>
    <t>Laundry and Vending</t>
  </si>
  <si>
    <t>Other Income (specify)</t>
  </si>
  <si>
    <t>Total Gross Rental &amp; Other Income Potential at 100% Occupancy</t>
  </si>
  <si>
    <t>7% Vacancy Allowance</t>
  </si>
  <si>
    <t>Net Rental and Other Income</t>
  </si>
  <si>
    <t>Net Operating Income</t>
  </si>
  <si>
    <t>Total Debt Service</t>
  </si>
  <si>
    <t>Rent includes the following Utilities</t>
  </si>
  <si>
    <t>Water / Sewer</t>
  </si>
  <si>
    <t>Electric</t>
  </si>
  <si>
    <t>Trash</t>
  </si>
  <si>
    <t>Project Operations</t>
  </si>
  <si>
    <t>County</t>
  </si>
  <si>
    <t>Median Income</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</si>
  <si>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</si>
  <si>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</si>
  <si>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</si>
  <si>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</si>
  <si>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</si>
  <si>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</si>
  <si>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</si>
  <si>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</si>
  <si>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</si>
  <si>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</si>
  <si>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</si>
  <si>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</si>
  <si>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</si>
  <si>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</si>
  <si>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</si>
  <si>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</si>
  <si>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</si>
  <si>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</si>
  <si>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</si>
  <si>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</si>
  <si>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</si>
  <si>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</si>
  <si>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</si>
  <si>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</si>
  <si>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</si>
  <si>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</si>
  <si>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</si>
  <si>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</si>
  <si>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</si>
  <si>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</si>
  <si>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</si>
  <si>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</si>
  <si>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</si>
  <si>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</si>
  <si>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</si>
  <si>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</si>
  <si>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</si>
  <si>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</si>
  <si>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</si>
  <si>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</si>
  <si>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</si>
  <si>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</si>
  <si>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</si>
  <si>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</si>
  <si>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</si>
  <si>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</si>
  <si>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</si>
  <si>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</si>
  <si>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</si>
  <si>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</si>
  <si>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</si>
  <si>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</si>
  <si>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</si>
  <si>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</si>
  <si>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</si>
  <si>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</si>
  <si>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</si>
  <si>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</si>
  <si>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</si>
  <si>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</si>
  <si>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</si>
  <si>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</si>
  <si>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</si>
  <si>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</si>
  <si>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</si>
  <si>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</si>
  <si>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</si>
  <si>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</si>
  <si>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</si>
  <si>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</si>
  <si>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</si>
  <si>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</si>
  <si>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</si>
  <si>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</si>
  <si>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</si>
  <si>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</si>
  <si>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</si>
  <si>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</si>
  <si>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</si>
  <si>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</si>
  <si>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</si>
  <si>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</si>
  <si>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</si>
  <si>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</si>
  <si>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</si>
  <si>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</si>
  <si>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</si>
  <si>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</si>
  <si>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</si>
  <si>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</si>
  <si>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</si>
  <si>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</si>
  <si>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</si>
  <si>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</si>
  <si>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</si>
  <si>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</si>
  <si>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</si>
  <si>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</si>
  <si>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</si>
  <si>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</si>
  <si>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Total Housing</t>
  </si>
  <si>
    <t>x</t>
  </si>
  <si>
    <t>1BR</t>
  </si>
  <si>
    <t>2BR</t>
  </si>
  <si>
    <t>3BR</t>
  </si>
  <si>
    <t>4BR</t>
  </si>
  <si>
    <t>YR 1</t>
  </si>
  <si>
    <t>YR 2</t>
  </si>
  <si>
    <t>YR 3</t>
  </si>
  <si>
    <t>YR 4</t>
  </si>
  <si>
    <t>YR 5</t>
  </si>
  <si>
    <t>YR 6</t>
  </si>
  <si>
    <t>YR 7</t>
  </si>
  <si>
    <t>YR 8</t>
  </si>
  <si>
    <t>YR 9</t>
  </si>
  <si>
    <t>YR 10</t>
  </si>
  <si>
    <t>YR 11</t>
  </si>
  <si>
    <t>YR 12</t>
  </si>
  <si>
    <t>YR 13</t>
  </si>
  <si>
    <t>YR 14</t>
  </si>
  <si>
    <t>YR 15</t>
  </si>
  <si>
    <t>YR 16</t>
  </si>
  <si>
    <t>YR 17</t>
  </si>
  <si>
    <t>YR 18</t>
  </si>
  <si>
    <t>YR 19</t>
  </si>
  <si>
    <t>YR 20</t>
  </si>
  <si>
    <t>YR 21</t>
  </si>
  <si>
    <t>YR 22</t>
  </si>
  <si>
    <t>YR 23</t>
  </si>
  <si>
    <t>YR 24</t>
  </si>
  <si>
    <t>YR 25</t>
  </si>
  <si>
    <t>YR 26</t>
  </si>
  <si>
    <t>YR 27</t>
  </si>
  <si>
    <t>YR 28</t>
  </si>
  <si>
    <t>YR 29</t>
  </si>
  <si>
    <t>YR 30</t>
  </si>
  <si>
    <t xml:space="preserve">   Gross Rent</t>
  </si>
  <si>
    <t>+ Other Income</t>
  </si>
  <si>
    <t>= Gross Income</t>
  </si>
  <si>
    <t>-  7% Vacancy Allowance</t>
  </si>
  <si>
    <t>= Net Rental Income</t>
  </si>
  <si>
    <t>- Operating Expenses</t>
  </si>
  <si>
    <t>- Replacement Reserves</t>
  </si>
  <si>
    <t>= Net Operating Income</t>
  </si>
  <si>
    <t>- Bank Loan</t>
  </si>
  <si>
    <t>- RPP Loan</t>
  </si>
  <si>
    <t>- Local Government Loan</t>
  </si>
  <si>
    <t>- RD 515 Loan</t>
  </si>
  <si>
    <t>- AHP Loan</t>
  </si>
  <si>
    <t>- Other Loan</t>
  </si>
  <si>
    <t>- Tax Exempt Bond</t>
  </si>
  <si>
    <t>= Net Cash Flow</t>
  </si>
  <si>
    <t>Debt Coverage Ratio - Bank Loan</t>
  </si>
  <si>
    <t>Debt Coverage Ratio - All Loans</t>
  </si>
  <si>
    <t>Interest Rate</t>
  </si>
  <si>
    <t>Loan Principal</t>
  </si>
  <si>
    <t>P &amp; I</t>
  </si>
  <si>
    <t xml:space="preserve">   Interest Payment</t>
  </si>
  <si>
    <t xml:space="preserve">   Principal Payment</t>
  </si>
  <si>
    <t>Remaining Principal</t>
  </si>
  <si>
    <t xml:space="preserve">Principal repaid as a </t>
  </si>
  <si>
    <t>Total Payments</t>
  </si>
  <si>
    <t>% of original loan</t>
  </si>
  <si>
    <t>Interest</t>
  </si>
  <si>
    <t>RPP Annual P&amp;I Payment</t>
  </si>
  <si>
    <t xml:space="preserve">  </t>
  </si>
  <si>
    <t>RPP Payment Calculator</t>
  </si>
  <si>
    <t>Total Debt Service Supportable at 1.15</t>
  </si>
  <si>
    <t>-  Bank Payment</t>
  </si>
  <si>
    <t>-  Other Priority Payment</t>
  </si>
  <si>
    <t>= RPP Payment Amount</t>
  </si>
  <si>
    <t>Changing Calculators</t>
  </si>
  <si>
    <t>To have a calculator amortize another Source, link Name (in light blue), IR, Term, Loan Principal and the cell adjacent to Term (in column C) to the corresponding cells on the Sources page for the Source you want to amortize.  For example: to change the AHP Loan calculator to the 2nd Other Loan, change all of the above mentioned cells from 8 (row the AHP Loan is on on the Sources page) to 10 (row the 2nd Other Loan is on on the Sources page).  You will then need to change the corresponding cells in the Debt Service section (rows 16 through 24).</t>
  </si>
  <si>
    <t>HOME</t>
  </si>
  <si>
    <t>Non-HOME</t>
  </si>
  <si>
    <t>Yearly Income</t>
  </si>
  <si>
    <t>Was this project in a QCT or DDA when credits were awarded?</t>
  </si>
  <si>
    <t>Building Unit Info</t>
  </si>
  <si>
    <t>Unit Mix</t>
  </si>
  <si>
    <t>Income Trend</t>
  </si>
  <si>
    <t>Expenses Trend</t>
  </si>
  <si>
    <t>Building by Building Credit Allocation</t>
  </si>
  <si>
    <t>Element</t>
  </si>
  <si>
    <t>Monthly</t>
  </si>
  <si>
    <t>*Legend</t>
  </si>
  <si>
    <t>Non-Amortizing Loan*</t>
  </si>
  <si>
    <t>Limited Partner Interest</t>
  </si>
  <si>
    <t>Federal LIHTC Equity</t>
  </si>
  <si>
    <t>Total Federal LIHTC Equity</t>
  </si>
  <si>
    <t>Price on sale of Federal LIHTC Credits</t>
  </si>
  <si>
    <t>+ HOME Rent (trends at 1.5%)</t>
  </si>
  <si>
    <t>(must be actual street address)</t>
  </si>
  <si>
    <t>Federal LIHTC Equity Calculator</t>
  </si>
  <si>
    <t>Total Credits (from Credit Info page)</t>
  </si>
  <si>
    <t>- Non-Amortizing Loan</t>
  </si>
  <si>
    <t>Tax Exempt Bond*</t>
  </si>
  <si>
    <t>("Project")</t>
  </si>
  <si>
    <t>Name of Ownership Entity:</t>
  </si>
  <si>
    <t>("Owner")</t>
  </si>
  <si>
    <t>Tax ID Number:</t>
  </si>
  <si>
    <t xml:space="preserve">The undersigned </t>
  </si>
  <si>
    <t>of the Owner, in connection with the award and allocation by the North Carolina</t>
  </si>
  <si>
    <t>general partner</t>
  </si>
  <si>
    <t>managing member</t>
  </si>
  <si>
    <t>on behalf of the Owner as follows:</t>
  </si>
  <si>
    <t xml:space="preserve">(a) The Owner (i) is validly existing and qualified to transact business under the laws of North Carolina, (ii) has the full </t>
  </si>
  <si>
    <t>power and authority to own its properties and assets and to carry on its business as now being conducted, and (iii) has</t>
  </si>
  <si>
    <t>partnership</t>
  </si>
  <si>
    <t>the full legal right, power and authority to execute and deliver this document.</t>
  </si>
  <si>
    <t>liability company</t>
  </si>
  <si>
    <t>(b) There is no action, suit or proceeding at law or in equity or by or before any governmental instrumentality or other</t>
  </si>
  <si>
    <t>agency now pending, or, to the knowledge of the Owner, threatened against or affecting it or any of its properties or</t>
  </si>
  <si>
    <t>rights, which, if adversely determined, would materially impair its right to carry on business substantially as now conducted</t>
  </si>
  <si>
    <t>or would materially adversely affect its financial condition or which would impair the use of the Project as contemplated</t>
  </si>
  <si>
    <t>by this document.</t>
  </si>
  <si>
    <t>(c) the information contained herein is accurate.</t>
  </si>
  <si>
    <t>The Owner authorizes the NCTRAC to utilize this information to calculate the amount of federal low-income housing tax</t>
  </si>
  <si>
    <t>credits and acknowledges that the following constitute conditions to the Allocation:</t>
  </si>
  <si>
    <t xml:space="preserve">(1) accuracy of the facts and compliance with representations contained in the Allocation documentation and the </t>
  </si>
  <si>
    <t>Project's application for low-income housing tax credits ("Application"),</t>
  </si>
  <si>
    <t>(2) completion of construction as depicted on the site layout, floor plan and elevations submitted with the Application,</t>
  </si>
  <si>
    <t>(3) adherence to the Qualified Allocation Plan for the year in which the credits were awarded, and</t>
  </si>
  <si>
    <t>(4) provision and maintenance of those certain unit and project amenities for the benefit of the tenants described in</t>
  </si>
  <si>
    <t>the Application.</t>
  </si>
  <si>
    <t>The Owner's or Project's failure to comply with all such conditions without prior written authorization from the NCTRAC</t>
  </si>
  <si>
    <t>will entitle the NCTRAC, in its discretion, to deem the Allocation to be cancelled by mutual consent.  After any such</t>
  </si>
  <si>
    <t>cancellation, Owner acknowledges that neither it nor the Project will have any right to claim Credits pursuant to the</t>
  </si>
  <si>
    <t>Allocation.  The NCTRAC reserves the right, in its discretion, to modify and/or waive any such failed condition.</t>
  </si>
  <si>
    <t>a</t>
  </si>
  <si>
    <t>limited</t>
  </si>
  <si>
    <t>(state)</t>
  </si>
  <si>
    <t>By:</t>
  </si>
  <si>
    <t>its</t>
  </si>
  <si>
    <r>
      <t xml:space="preserve">ATTEST:  </t>
    </r>
    <r>
      <rPr>
        <sz val="8"/>
        <rFont val="Times New Roman"/>
        <family val="1"/>
      </rPr>
      <t>(if applicable)</t>
    </r>
  </si>
  <si>
    <t>(signature)</t>
  </si>
  <si>
    <t>Name:</t>
  </si>
  <si>
    <t>[Corporate Seal]</t>
  </si>
  <si>
    <t>Title:</t>
  </si>
  <si>
    <t>Secretary</t>
  </si>
  <si>
    <t>(if applicable)</t>
  </si>
  <si>
    <t>Date:</t>
  </si>
  <si>
    <t>Amount Paid</t>
  </si>
  <si>
    <t>Mailing Address:</t>
  </si>
  <si>
    <t>NCHFA</t>
  </si>
  <si>
    <t>3508 Bush Street</t>
  </si>
  <si>
    <t>Raleigh, NC  27609-7509</t>
  </si>
  <si>
    <t>Attn: Rental Investment</t>
  </si>
  <si>
    <t>Describe any significant changes to the funding sources since full application</t>
  </si>
  <si>
    <t>Should you have any problems or questions completing this form, please contact Chris Austin</t>
  </si>
  <si>
    <t>at (919) 877-5662 or by email at</t>
  </si>
  <si>
    <t>claustin@nchfa.com</t>
  </si>
  <si>
    <t>Final Cost Certification Instructions</t>
  </si>
  <si>
    <t>Last Updated</t>
  </si>
  <si>
    <t>*Debt Service entered will carry to the Cash Flow page but can be edited on the Cash Flow page</t>
  </si>
  <si>
    <t>Owner Certification</t>
  </si>
  <si>
    <t>Independent Auditors' Report</t>
  </si>
  <si>
    <t>We have audited the costs included in the accompanying Final Cost Certification of the Owner for the Project as of</t>
  </si>
  <si>
    <t>the Internal Revenue Service, under the accrual method of accounting, and in conformity with the format and</t>
  </si>
  <si>
    <t>We have no financial interest in the Project other than in the practice of our profession.</t>
  </si>
  <si>
    <t>This report is intended solely for the information and use of the Owner and the Owner's management and for filing</t>
  </si>
  <si>
    <t>Date</t>
  </si>
  <si>
    <t xml:space="preserve"> for the Project as of</t>
  </si>
  <si>
    <t xml:space="preserve"> (date) on</t>
  </si>
  <si>
    <t xml:space="preserve">Federal Tax Reform Allocation Committee (“NCTRAC”) of low-income housing credits (“Allocation”) hereby certifies </t>
  </si>
  <si>
    <t>Note: for Rehab &amp; Acquisition, info should only be entered once for each building</t>
  </si>
  <si>
    <t>2.    Demolition (Rehab / Adaptive Reuse only)</t>
  </si>
  <si>
    <t>(date).  Our responsibility is to express an opinion on the following pages</t>
  </si>
  <si>
    <t>Annual D.S.</t>
  </si>
  <si>
    <t xml:space="preserve"> and qualified basis of </t>
  </si>
  <si>
    <t>3.   Certificate of Occupancy for each building</t>
  </si>
  <si>
    <t>4.   Executed Promissory Note or most recent commitment letter (less than 6 months old) from all lenders</t>
  </si>
  <si>
    <t>7.   Executed Rental Assistance contract (if applicable)</t>
  </si>
  <si>
    <t>9.   Final Site Visit form issued by NCHFA and signed by the owner</t>
  </si>
  <si>
    <t>When you have completed the Final Cost Certification, save and email a copy to the Development Analyst who is assigned to your project.  You will also need to mail all of the items listed below.  Once all of those items are received, NCHFA will have a minimum of 30 days to issue 8609s.  Depending on the time of year, the minimum time may be longer.  Prior to issuing 8609s, the Development Analyst will email the Final Cost Certification with any changes to the developer.  The developer will need to print the entire document, complete and sign the Certification page, and mail it back to NCHFA along with the Independent Auditors' Report (Auditor Cert tab) on auditors' letterhead.</t>
  </si>
  <si>
    <t>Trend?</t>
  </si>
  <si>
    <t>Describe any special restrictions on units</t>
  </si>
  <si>
    <t>contributed to the project as well as their ownership interest in the project</t>
  </si>
  <si>
    <t>5.   Investor Certification Letter - letter from the equity provider indicating the per credit pricing, total equity</t>
  </si>
  <si>
    <t>Accessible</t>
  </si>
  <si>
    <t>1.   Current Certificate of Existence for LP or LLC</t>
  </si>
  <si>
    <t>10. Energy Star certification</t>
  </si>
  <si>
    <t>1.    Purchase of Building(s) (Rehab / Adaptive Reuse only)</t>
  </si>
  <si>
    <t>11.  Architect's Fee - Design (11 + 12 = max 3% lines 2-10)</t>
  </si>
  <si>
    <t>13.  Engineering Costs</t>
  </si>
  <si>
    <t xml:space="preserve">       Subtotal  (lines 1 through 13)</t>
  </si>
  <si>
    <t>14.  Construction Insurance (prorate)</t>
  </si>
  <si>
    <t>15.  Construction Loan Origination Fee (prorate)</t>
  </si>
  <si>
    <t>16.  Construction Loan Interest (prorate)</t>
  </si>
  <si>
    <t>17.  Construction Loan Credit Enhancement (prorate)</t>
  </si>
  <si>
    <t>18.  Construction Period Taxes (prorate)</t>
  </si>
  <si>
    <t>19.  Water, Sewer and Impact Fees</t>
  </si>
  <si>
    <t>20.  Survey</t>
  </si>
  <si>
    <t>21.  Property Appraisal</t>
  </si>
  <si>
    <t>22.  Environmental Report</t>
  </si>
  <si>
    <t>23.  Market Study</t>
  </si>
  <si>
    <t>24.  Bond Costs</t>
  </si>
  <si>
    <t>25.  Bond Issuance Costs</t>
  </si>
  <si>
    <t>26.  Placement Fee</t>
  </si>
  <si>
    <t xml:space="preserve">27.  Permanent Loan Origination Fee  </t>
  </si>
  <si>
    <t xml:space="preserve">28.  Permanent Loan Credit Enhancement  </t>
  </si>
  <si>
    <t>29.  Title and Recording</t>
  </si>
  <si>
    <t xml:space="preserve">       Subtotal  (lines 14 through 29)</t>
  </si>
  <si>
    <t>30.  Real Estate Attorney</t>
  </si>
  <si>
    <t>31.  Other Attorney's Fees</t>
  </si>
  <si>
    <t>32.  Tax Credit Application Fees (Preliminary and Full)</t>
  </si>
  <si>
    <t>36.  Cost Certification / Accounting Fees</t>
  </si>
  <si>
    <t>37.  Tax Opinion</t>
  </si>
  <si>
    <t>38.  Organizational (Partnership)</t>
  </si>
  <si>
    <t>39.  Tax Credit Monitoring Fee</t>
  </si>
  <si>
    <t xml:space="preserve">       Subtotal  (lines 30 through 39)</t>
  </si>
  <si>
    <t>40.  Furnishings and Equipment</t>
  </si>
  <si>
    <t>41.  Relocation Expense</t>
  </si>
  <si>
    <t>42.  Developer Fee</t>
  </si>
  <si>
    <t>44.  Other Basis Expense (specify)</t>
  </si>
  <si>
    <t>47.  Other Non-Basis Expense (specify)</t>
  </si>
  <si>
    <t>51.  Other Reserve (specify)</t>
  </si>
  <si>
    <t>33.  Tax Credit Allocation Fee</t>
  </si>
  <si>
    <t>Year Awarded:</t>
  </si>
  <si>
    <t>8.   Copy of latest tax and insurance bills</t>
  </si>
  <si>
    <t>2.   Any amendments to the Operating Agreement not previously submitted to NCHFA's Legal Department</t>
  </si>
  <si>
    <t>Rehab</t>
  </si>
  <si>
    <t>New</t>
  </si>
  <si>
    <t>Max Dev Fee</t>
  </si>
  <si>
    <t>% of rehab</t>
  </si>
  <si>
    <t>11. Evidence owner and management company have attended Agency approved LIHTC compliance seminar</t>
  </si>
  <si>
    <t>The items below must be submitted to NCHFA, at the time the Final Cost Certification is emailed to the Development Analyst, 2-hole punched at the top of the page in the following order:</t>
  </si>
  <si>
    <t>Version 1.6</t>
  </si>
  <si>
    <t>decision-making authority.</t>
  </si>
  <si>
    <t>34.  State Tax Credit Closing Fee</t>
  </si>
  <si>
    <t>35.  RPP Closing Fee</t>
  </si>
  <si>
    <t>STC</t>
  </si>
  <si>
    <t>RPP</t>
  </si>
  <si>
    <t>Asset Mgmt Fee</t>
  </si>
  <si>
    <t>Note: HOME units must be listed on a separate line from non-HOME units</t>
  </si>
  <si>
    <t># Baths</t>
  </si>
  <si>
    <t>Will not calculate until Unit Mix page is complete</t>
  </si>
  <si>
    <r>
      <t xml:space="preserve">Project Development Cost per Unit </t>
    </r>
    <r>
      <rPr>
        <i/>
        <sz val="12"/>
        <rFont val="Times New Roman"/>
        <family val="1"/>
      </rPr>
      <t>(New Construction only)</t>
    </r>
  </si>
  <si>
    <t>$1,500/unit</t>
  </si>
  <si>
    <t>6.   Current utility allowance schedule</t>
  </si>
  <si>
    <t xml:space="preserve">We conducted our audit in accordance with auditing standards generally accepted in the United States of America.  </t>
  </si>
  <si>
    <t xml:space="preserve">Those standards require we plan and perform the audit to obtain reasonable assurance about whether the financial </t>
  </si>
  <si>
    <t>Qualified Allocation Plan rules set by the North Carolina Federal Tax Federal Reform Allocation Committee ("NCTRAC"),</t>
  </si>
  <si>
    <t>which is a comprehensive basis of accounting other than generally accepted accounting principles in the United States</t>
  </si>
  <si>
    <t xml:space="preserve">contained in the Final Cost Certification based on our audit: Costs, Sources and Credit Info ("financial statements").  </t>
  </si>
  <si>
    <t>The remaining information, statements and representations contained in this report are the responsibility of the Owner</t>
  </si>
  <si>
    <t>financial statements and we make no claim to its authenticity nor do we express an opinion on its accuracy.</t>
  </si>
  <si>
    <t>statements are free of material misstatement.</t>
  </si>
  <si>
    <t>An audit involves performing procedures to obtain audit evidence about the amounts and disclosures in the financial</t>
  </si>
  <si>
    <t>statements.  The procedures selected depend on the auditor's judgment, including the assessment of the risks of</t>
  </si>
  <si>
    <t>material misstatement of the financial statements, whether due to fraud or error.  In making those risk assessments,</t>
  </si>
  <si>
    <t>the auditor considers internal control relevant to the entity's preparation and fair presentation of the financial</t>
  </si>
  <si>
    <t>expressing an opinion on the effectiveness of the entity's internal control.  Accordningly, we express no such</t>
  </si>
  <si>
    <t>opinion.  An audit also includes evaluating the appropriateness of accounting policies used and the reasonableness</t>
  </si>
  <si>
    <t>of significant accounting estimates made by management, as well as evaluating the overall presentation of the</t>
  </si>
  <si>
    <t>financial statements.</t>
  </si>
  <si>
    <t>The accompanying financial statements were prepared in conformity with the accounting practices prescribed by</t>
  </si>
  <si>
    <t>In our opinion the financial statements present fairly, in all material respects, the actual costs to the Owner of</t>
  </si>
  <si>
    <t>the basis of accounting described above and in accordance with the financial reporting provisions of the Internal</t>
  </si>
  <si>
    <t>Revenue Service.</t>
  </si>
  <si>
    <t>with NCTRAC and should not be used by anyone other than these specified parties.</t>
  </si>
  <si>
    <t xml:space="preserve">and the Owner's management which has not been subjected to the auditing procedures applied in the audit of the </t>
  </si>
  <si>
    <t>Auditor's Responsibility</t>
  </si>
  <si>
    <t>Basis of Accounting</t>
  </si>
  <si>
    <t>Opinion</t>
  </si>
  <si>
    <t>Restricion on Use</t>
  </si>
  <si>
    <t>of America, to comply with the requirements of the Internal Revenue Service.  Our opinion is not modified with</t>
  </si>
  <si>
    <t>respect to that matter.</t>
  </si>
  <si>
    <t>statements in order to design audit procedures that are appropriate in the circumstances, but not for the purpose of</t>
  </si>
  <si>
    <t>To complete the Final Cost Certification, use your 'Tab' key to move through each field of each page.  The entire form and each page should be completed in order, from left to right.  Because some data flows through multiple pages, failure to complete the form in order could cause some fields to not fill or calculate.  'Shift-Tab' will move you back to previous cells.  To move between sections, click on the desired tab below.  Please refer to the Qualified Allocation Plan ("QAP") for the year in which your project was awarded credits to ensure your project meets all of that year's QAP requirements.</t>
  </si>
  <si>
    <t xml:space="preserve">     Total Administrative Expenses</t>
  </si>
  <si>
    <t xml:space="preserve">     Total Utilities Expense</t>
  </si>
  <si>
    <t xml:space="preserve">     Total Operating &amp; Maintenance Expenses</t>
  </si>
  <si>
    <t xml:space="preserve">     Total Taxes and Insurance</t>
  </si>
  <si>
    <t xml:space="preserve">     Total Supportive Service Expenses</t>
  </si>
  <si>
    <t xml:space="preserve">     Total Operating Expenses</t>
  </si>
  <si>
    <r>
      <t xml:space="preserve">     Per Unit Cost </t>
    </r>
    <r>
      <rPr>
        <sz val="10"/>
        <rFont val="Times New Roman"/>
        <family val="1"/>
      </rPr>
      <t>(less Reserves, RE Taxes, Support Service Expenses)</t>
    </r>
  </si>
  <si>
    <t>13. Monitoring Fee</t>
  </si>
  <si>
    <t>12. Listing of the name and address for all contractors and subcontractors (2012 awards and later)</t>
  </si>
  <si>
    <t>within the last 12 months.  "Owner" is defined as an individual within the ownership entity who has</t>
  </si>
  <si>
    <t>45.  Other Basis Expense (specify)</t>
  </si>
  <si>
    <t>46.  Rent-up Expense</t>
  </si>
  <si>
    <t>48.  Other Non-Basis Expense (specify)</t>
  </si>
  <si>
    <t xml:space="preserve">       Subtotal  (lines 40 through 48)</t>
  </si>
  <si>
    <t>49.  Rent-up Reserve</t>
  </si>
  <si>
    <t>50.  Operating Reserve</t>
  </si>
  <si>
    <r>
      <t xml:space="preserve">53. </t>
    </r>
    <r>
      <rPr>
        <b/>
        <sz val="12"/>
        <rFont val="Times New Roman"/>
        <family val="1"/>
      </rPr>
      <t xml:space="preserve"> Development Cost (lines 1 through 52)</t>
    </r>
  </si>
  <si>
    <t>52.  Other Reserve (specify)</t>
  </si>
  <si>
    <t>54.  Less Federally Funded Grant</t>
  </si>
  <si>
    <t xml:space="preserve">55.  Less Disproportionate Standard </t>
  </si>
  <si>
    <t>56.  Less Nonqualified Nonrecourse Financing</t>
  </si>
  <si>
    <t>57.  Less Historic Tax Credit</t>
  </si>
  <si>
    <r>
      <t>58.</t>
    </r>
    <r>
      <rPr>
        <b/>
        <sz val="12"/>
        <rFont val="Times New Roman"/>
        <family val="1"/>
      </rPr>
      <t xml:space="preserve">  Total Eligible Basis</t>
    </r>
  </si>
  <si>
    <t>59.  Applicable Fraction (percentage of Low Income units)</t>
  </si>
  <si>
    <t>60.  Basis Before Boost</t>
  </si>
  <si>
    <t>61.  Basis Boost of up to 130%</t>
  </si>
  <si>
    <r>
      <t>62.</t>
    </r>
    <r>
      <rPr>
        <b/>
        <sz val="12"/>
        <rFont val="Times New Roman"/>
        <family val="1"/>
      </rPr>
      <t xml:space="preserve">  Total Qualified Basis</t>
    </r>
  </si>
  <si>
    <t>63.  Tax Credit Rate</t>
  </si>
  <si>
    <t>64.  Federal Tax Credits at Locked In Rate</t>
  </si>
  <si>
    <t>65.  Federal Tax Credits Reserved per Carryover Agreement</t>
  </si>
  <si>
    <t>67.  Land Cost</t>
  </si>
  <si>
    <r>
      <t>68.</t>
    </r>
    <r>
      <rPr>
        <b/>
        <sz val="12"/>
        <rFont val="Times New Roman"/>
        <family val="1"/>
      </rPr>
      <t xml:space="preserve">  Total Replacement Cost</t>
    </r>
  </si>
  <si>
    <t>66.  Federal Tax Credits Requested (if less than line 65)</t>
  </si>
  <si>
    <t>Stores and Commercial</t>
  </si>
  <si>
    <t>+ Stores/Commercial, Laundry/Vending</t>
  </si>
  <si>
    <t>43.  Additional Contingency (line 68 must equal or be less than Award)</t>
  </si>
  <si>
    <t>10.  Construction Contingency (max 5% lines 2-9, Rehabs 10%)</t>
  </si>
  <si>
    <t>5BR</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</si>
</sst>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6" formatCode="&quot;$&quot;#,##0_);[Red]\(&quot;$&quot;#,##0\)"/>
    <numFmt numFmtId="7" formatCode="&quot;$&quot;#,##0.00_);\(&quot;$&quot;#,##0.00\)"/>
    <numFmt numFmtId="43" formatCode="_(* #,##0.00_);_(* \(#,##0.00\);_(* &quot;-&quot;??_);_(@_)"/>
    <numFmt numFmtId="164" formatCode="&quot;$&quot;#,##0"/>
    <numFmt numFmtId="165" formatCode="0.0%"/>
    <numFmt numFmtId="166" formatCode="#,##0.000"/>
    <numFmt numFmtId="167" formatCode="0.00_)"/>
    <numFmt numFmtId="168" formatCode=";;;"/>
    <numFmt numFmtId="169" formatCode="#,###_);\(#,###\)"/>
    <numFmt numFmtId="170" formatCode="0_)"/>
    <numFmt numFmtId="171" formatCode="&quot;$&quot;#,##0.0000_);[Red]\(&quot;$&quot;#,##0.0000\)"/>
    <numFmt numFmtId="172" formatCode="[$-409]mmmm\ d\,\ yyyy;@"/>
    <numFmt numFmtId="173" formatCode="mmmm\ d\,\ yyyy"/>
    <numFmt numFmtId="174" formatCode="&quot;$&quot;#,##0.00"/>
  </numFmts>
  <fonts count="34" x14ac:knownFonts="1">
    <font>
      <sz val="10"/>
      <name val="Arial"/>
    </font>
    <font>
      <sz val="10"/>
      <name val="Arial"/>
      <family val="2"/>
    </font>
    <font>
      <sz val="8"/>
      <name val="Arial"/>
      <family val="2"/>
    </font>
    <font>
      <b/>
      <sz val="10"/>
      <name val="Times New Roman"/>
      <family val="1"/>
    </font>
    <font>
      <sz val="10"/>
      <name val="Times New Roman"/>
      <family val="1"/>
    </font>
    <font>
      <sz val="8"/>
      <name val="Times New Roman"/>
      <family val="1"/>
    </font>
    <font>
      <sz val="10"/>
      <color indexed="9"/>
      <name val="Times New Roman"/>
      <family val="1"/>
    </font>
    <font>
      <b/>
      <u/>
      <sz val="10"/>
      <name val="Times New Roman"/>
      <family val="1"/>
    </font>
    <font>
      <sz val="14"/>
      <name val="Times New Roman"/>
      <family val="1"/>
    </font>
    <font>
      <b/>
      <sz val="14"/>
      <name val="Times New Roman"/>
      <family val="1"/>
    </font>
    <font>
      <sz val="12"/>
      <color indexed="9"/>
      <name val="Times New Roman"/>
      <family val="1"/>
    </font>
    <font>
      <b/>
      <sz val="12"/>
      <name val="Times New Roman"/>
      <family val="1"/>
    </font>
    <font>
      <sz val="12"/>
      <name val="Times New Roman"/>
      <family val="1"/>
    </font>
    <font>
      <sz val="10"/>
      <color indexed="81"/>
      <name val="Times New Roman"/>
      <family val="1"/>
    </font>
    <font>
      <sz val="9"/>
      <name val="Times New Roman"/>
      <family val="1"/>
    </font>
    <font>
      <b/>
      <sz val="12"/>
      <color indexed="9"/>
      <name val="Times New Roman"/>
      <family val="1"/>
    </font>
    <font>
      <b/>
      <i/>
      <sz val="16"/>
      <color indexed="10"/>
      <name val="Times New Roman"/>
      <family val="1"/>
    </font>
    <font>
      <sz val="10"/>
      <color indexed="8"/>
      <name val="Times New Roman"/>
      <family val="1"/>
    </font>
    <font>
      <sz val="14"/>
      <color indexed="12"/>
      <name val="Times New Roman"/>
      <family val="1"/>
    </font>
    <font>
      <sz val="10"/>
      <color indexed="12"/>
      <name val="Times New Roman"/>
      <family val="1"/>
    </font>
    <font>
      <u/>
      <sz val="12"/>
      <color indexed="10"/>
      <name val="Times New Roman"/>
      <family val="1"/>
    </font>
    <font>
      <sz val="12"/>
      <color indexed="12"/>
      <name val="Times New Roman"/>
      <family val="1"/>
    </font>
    <font>
      <sz val="10"/>
      <name val="Arial"/>
      <family val="2"/>
    </font>
    <font>
      <sz val="11"/>
      <name val="Times New Roman"/>
      <family val="1"/>
    </font>
    <font>
      <sz val="11"/>
      <color indexed="9"/>
      <name val="Times New Roman"/>
      <family val="1"/>
    </font>
    <font>
      <sz val="12"/>
      <color indexed="10"/>
      <name val="Times New Roman"/>
      <family val="1"/>
    </font>
    <font>
      <u/>
      <sz val="10"/>
      <color indexed="12"/>
      <name val="Arial"/>
      <family val="2"/>
    </font>
    <font>
      <sz val="11.5"/>
      <name val="Times New Roman"/>
      <family val="1"/>
    </font>
    <font>
      <sz val="10"/>
      <color indexed="10"/>
      <name val="Times New Roman"/>
      <family val="1"/>
    </font>
    <font>
      <sz val="11"/>
      <color indexed="81"/>
      <name val="Times New Roman"/>
      <family val="1"/>
    </font>
    <font>
      <u/>
      <sz val="12"/>
      <color indexed="12"/>
      <name val="Times New Roman"/>
      <family val="1"/>
    </font>
    <font>
      <i/>
      <sz val="12"/>
      <name val="Times New Roman"/>
      <family val="1"/>
    </font>
    <font>
      <b/>
      <sz val="11"/>
      <name val="Times New Roman"/>
      <family val="1"/>
    </font>
    <font>
      <sz val="10"/>
      <color theme="0"/>
      <name val="Times New Roman"/>
      <family val="1"/>
    </font>
  </fonts>
  <fills count="6">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diagonal/>
    </border>
    <border>
      <left/>
      <right style="thin">
        <color indexed="64"/>
      </right>
      <top/>
      <bottom/>
      <diagonal/>
    </border>
    <border>
      <left/>
      <right/>
      <top style="thin">
        <color indexed="8"/>
      </top>
      <bottom/>
      <diagonal/>
    </border>
    <border>
      <left/>
      <right style="thin">
        <color indexed="64"/>
      </right>
      <top style="thin">
        <color indexed="8"/>
      </top>
      <bottom/>
      <diagonal/>
    </border>
    <border>
      <left/>
      <right style="thin">
        <color indexed="64"/>
      </right>
      <top/>
      <bottom style="thin">
        <color indexed="64"/>
      </bottom>
      <diagonal/>
    </border>
    <border>
      <left/>
      <right/>
      <top/>
      <bottom style="thin">
        <color indexed="8"/>
      </bottom>
      <diagonal/>
    </border>
    <border>
      <left/>
      <right style="thin">
        <color indexed="64"/>
      </right>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top style="thin">
        <color indexed="64"/>
      </top>
      <bottom style="thin">
        <color indexed="8"/>
      </bottom>
      <diagonal/>
    </border>
    <border>
      <left style="thin">
        <color indexed="64"/>
      </left>
      <right style="thin">
        <color indexed="64"/>
      </right>
      <top/>
      <bottom style="thin">
        <color indexed="8"/>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8"/>
      </right>
      <top style="thin">
        <color indexed="64"/>
      </top>
      <bottom/>
      <diagonal/>
    </border>
    <border>
      <left style="thin">
        <color indexed="64"/>
      </left>
      <right style="thin">
        <color indexed="64"/>
      </right>
      <top/>
      <bottom/>
      <diagonal/>
    </border>
    <border>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diagonal/>
    </border>
    <border>
      <left style="thin">
        <color indexed="8"/>
      </left>
      <right style="thin">
        <color indexed="8"/>
      </right>
      <top/>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492">
    <xf numFmtId="0" fontId="0" fillId="0" borderId="0" xfId="0"/>
    <xf numFmtId="0" fontId="3" fillId="0" borderId="0" xfId="0" applyFont="1" applyAlignment="1">
      <alignment horizontal="right"/>
    </xf>
    <xf numFmtId="0" fontId="4" fillId="0" borderId="1" xfId="0" applyFont="1" applyBorder="1" applyAlignment="1" applyProtection="1">
      <alignment horizontal="center"/>
      <protection locked="0"/>
    </xf>
    <xf numFmtId="0" fontId="4" fillId="0" borderId="0" xfId="0" applyFont="1" applyBorder="1" applyAlignment="1">
      <alignment horizontal="center"/>
    </xf>
    <xf numFmtId="0" fontId="4" fillId="0" borderId="0" xfId="0" applyFont="1"/>
    <xf numFmtId="0" fontId="4" fillId="0" borderId="0" xfId="0" applyFont="1" applyAlignment="1">
      <alignment horizontal="right"/>
    </xf>
    <xf numFmtId="1" fontId="4" fillId="0" borderId="0" xfId="0" applyNumberFormat="1"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3" xfId="0" applyFont="1" applyFill="1" applyBorder="1" applyAlignment="1">
      <alignment horizontal="center"/>
    </xf>
    <xf numFmtId="0" fontId="3" fillId="0" borderId="2" xfId="0" applyFont="1" applyBorder="1"/>
    <xf numFmtId="0" fontId="3" fillId="0" borderId="4" xfId="0" applyFont="1" applyBorder="1" applyAlignment="1">
      <alignment horizontal="center"/>
    </xf>
    <xf numFmtId="14" fontId="4" fillId="0" borderId="4" xfId="0" applyNumberFormat="1" applyFont="1" applyBorder="1" applyAlignment="1" applyProtection="1">
      <alignment horizontal="center"/>
      <protection locked="0"/>
    </xf>
    <xf numFmtId="164" fontId="4" fillId="0" borderId="4" xfId="0" applyNumberFormat="1" applyFont="1" applyBorder="1" applyAlignment="1" applyProtection="1">
      <alignment horizontal="center"/>
      <protection locked="0"/>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3" fillId="0" borderId="0" xfId="0" applyNumberFormat="1" applyFont="1" applyAlignment="1">
      <alignment horizontal="center"/>
    </xf>
    <xf numFmtId="0" fontId="6" fillId="0" borderId="0" xfId="0" applyFont="1" applyFill="1"/>
    <xf numFmtId="0" fontId="3" fillId="0" borderId="0" xfId="0" applyFont="1" applyAlignment="1">
      <alignment horizontal="center"/>
    </xf>
    <xf numFmtId="0" fontId="5" fillId="0" borderId="0" xfId="0" applyFont="1"/>
    <xf numFmtId="0" fontId="3" fillId="0" borderId="0" xfId="0" applyFont="1"/>
    <xf numFmtId="0" fontId="4" fillId="0" borderId="0" xfId="0" applyFont="1" applyAlignment="1">
      <alignment horizontal="center"/>
    </xf>
    <xf numFmtId="0" fontId="4" fillId="0" borderId="1" xfId="0" applyFont="1" applyBorder="1" applyAlignment="1">
      <alignment horizontal="center"/>
    </xf>
    <xf numFmtId="0" fontId="6" fillId="0" borderId="0" xfId="0" applyFont="1" applyAlignment="1">
      <alignment horizontal="center"/>
    </xf>
    <xf numFmtId="0" fontId="4" fillId="0" borderId="0" xfId="0" applyFont="1" applyFill="1" applyBorder="1" applyAlignment="1">
      <alignment horizontal="center"/>
    </xf>
    <xf numFmtId="9" fontId="4" fillId="0" borderId="4" xfId="0" applyNumberFormat="1" applyFont="1" applyBorder="1" applyAlignment="1" applyProtection="1">
      <alignment horizontal="center"/>
    </xf>
    <xf numFmtId="0" fontId="4" fillId="0" borderId="9" xfId="0" applyFont="1" applyBorder="1" applyAlignment="1">
      <alignment horizontal="center"/>
    </xf>
    <xf numFmtId="0" fontId="4" fillId="0" borderId="0" xfId="0" applyFont="1" applyAlignment="1">
      <alignment horizontal="left"/>
    </xf>
    <xf numFmtId="0" fontId="3" fillId="0" borderId="0" xfId="0" applyFont="1" applyBorder="1" applyAlignment="1">
      <alignment horizontal="center"/>
    </xf>
    <xf numFmtId="0" fontId="7" fillId="0" borderId="0" xfId="0" applyFont="1"/>
    <xf numFmtId="0" fontId="3" fillId="0" borderId="0" xfId="0" applyFont="1" applyBorder="1" applyAlignment="1"/>
    <xf numFmtId="0" fontId="5" fillId="0" borderId="0" xfId="0" applyFont="1" applyAlignment="1"/>
    <xf numFmtId="0" fontId="6" fillId="0" borderId="0" xfId="0" applyFont="1" applyBorder="1" applyAlignment="1">
      <alignment horizontal="center"/>
    </xf>
    <xf numFmtId="0" fontId="3" fillId="0" borderId="4" xfId="0" applyFont="1" applyBorder="1" applyAlignment="1">
      <alignment horizontal="center" wrapText="1"/>
    </xf>
    <xf numFmtId="0" fontId="5" fillId="0" borderId="0" xfId="0" applyFont="1" applyBorder="1" applyAlignment="1"/>
    <xf numFmtId="0" fontId="3" fillId="0" borderId="0" xfId="0" applyFont="1" applyAlignment="1"/>
    <xf numFmtId="0" fontId="9" fillId="0" borderId="0" xfId="0" applyFont="1" applyAlignment="1">
      <alignment horizontal="center"/>
    </xf>
    <xf numFmtId="0" fontId="11" fillId="0" borderId="0" xfId="3" applyFont="1" applyBorder="1" applyAlignment="1" applyProtection="1">
      <alignment horizontal="center"/>
    </xf>
    <xf numFmtId="0" fontId="12" fillId="0" borderId="11" xfId="3" applyFont="1" applyBorder="1" applyProtection="1"/>
    <xf numFmtId="10" fontId="12" fillId="0" borderId="11" xfId="3" applyNumberFormat="1" applyFont="1" applyBorder="1" applyProtection="1"/>
    <xf numFmtId="0" fontId="12" fillId="0" borderId="11" xfId="3" applyFont="1" applyBorder="1" applyAlignment="1" applyProtection="1">
      <alignment wrapText="1"/>
    </xf>
    <xf numFmtId="0" fontId="12" fillId="0" borderId="11" xfId="3" applyFont="1" applyFill="1" applyBorder="1" applyProtection="1"/>
    <xf numFmtId="0" fontId="11" fillId="0" borderId="11" xfId="3" applyFont="1" applyBorder="1" applyProtection="1"/>
    <xf numFmtId="164" fontId="12" fillId="0" borderId="11" xfId="3" applyNumberFormat="1" applyFont="1" applyBorder="1" applyProtection="1"/>
    <xf numFmtId="0" fontId="12" fillId="0" borderId="0" xfId="3" applyFont="1" applyBorder="1" applyProtection="1"/>
    <xf numFmtId="37" fontId="12" fillId="0" borderId="0" xfId="3" applyNumberFormat="1" applyFont="1" applyProtection="1"/>
    <xf numFmtId="39" fontId="12" fillId="0" borderId="0" xfId="3" applyNumberFormat="1" applyFont="1" applyBorder="1" applyProtection="1"/>
    <xf numFmtId="0" fontId="12" fillId="0" borderId="0" xfId="3" applyFont="1" applyProtection="1"/>
    <xf numFmtId="0" fontId="11" fillId="0" borderId="12" xfId="3" applyFont="1" applyBorder="1" applyAlignment="1" applyProtection="1">
      <alignment horizontal="center"/>
    </xf>
    <xf numFmtId="0" fontId="12" fillId="0" borderId="0" xfId="3" applyFont="1" applyFill="1" applyProtection="1"/>
    <xf numFmtId="0" fontId="11" fillId="0" borderId="0" xfId="3" applyFont="1" applyProtection="1"/>
    <xf numFmtId="0" fontId="12" fillId="0" borderId="6" xfId="3" applyFont="1" applyBorder="1" applyAlignment="1" applyProtection="1">
      <alignment horizontal="center"/>
    </xf>
    <xf numFmtId="164" fontId="12" fillId="0" borderId="3" xfId="3" applyNumberFormat="1" applyFont="1" applyBorder="1" applyAlignment="1" applyProtection="1">
      <alignment horizontal="center"/>
    </xf>
    <xf numFmtId="0" fontId="4" fillId="0" borderId="0" xfId="3" applyFont="1" applyProtection="1"/>
    <xf numFmtId="0" fontId="4" fillId="0" borderId="0" xfId="3" applyFont="1" applyBorder="1" applyProtection="1"/>
    <xf numFmtId="164" fontId="12" fillId="0" borderId="6" xfId="3" applyNumberFormat="1" applyFont="1" applyBorder="1" applyProtection="1"/>
    <xf numFmtId="5" fontId="12" fillId="0" borderId="11" xfId="3" applyNumberFormat="1" applyFont="1" applyFill="1" applyBorder="1" applyProtection="1">
      <protection locked="0"/>
    </xf>
    <xf numFmtId="164" fontId="12" fillId="0" borderId="11" xfId="3" applyNumberFormat="1" applyFont="1" applyFill="1" applyBorder="1" applyProtection="1"/>
    <xf numFmtId="164" fontId="12" fillId="0" borderId="11" xfId="3" applyNumberFormat="1" applyFont="1" applyFill="1" applyBorder="1" applyProtection="1">
      <protection locked="0"/>
    </xf>
    <xf numFmtId="10" fontId="12" fillId="0" borderId="11" xfId="3" applyNumberFormat="1" applyFont="1" applyFill="1" applyBorder="1" applyProtection="1">
      <protection locked="0"/>
    </xf>
    <xf numFmtId="0" fontId="11" fillId="0" borderId="0" xfId="3" applyFont="1" applyAlignment="1" applyProtection="1">
      <alignment horizontal="right"/>
    </xf>
    <xf numFmtId="0" fontId="12" fillId="0" borderId="0" xfId="3" applyFont="1" applyBorder="1" applyAlignment="1" applyProtection="1">
      <alignment horizontal="center"/>
    </xf>
    <xf numFmtId="0" fontId="12" fillId="0" borderId="1" xfId="3" applyFont="1" applyBorder="1" applyAlignment="1" applyProtection="1">
      <alignment horizontal="center"/>
      <protection locked="0"/>
    </xf>
    <xf numFmtId="5" fontId="11" fillId="2" borderId="11" xfId="3" applyNumberFormat="1" applyFont="1" applyFill="1" applyBorder="1" applyProtection="1"/>
    <xf numFmtId="5" fontId="11" fillId="3" borderId="11" xfId="3" applyNumberFormat="1" applyFont="1" applyFill="1" applyBorder="1" applyProtection="1"/>
    <xf numFmtId="5" fontId="12" fillId="2" borderId="11" xfId="3" applyNumberFormat="1" applyFont="1" applyFill="1" applyBorder="1" applyProtection="1"/>
    <xf numFmtId="164" fontId="11" fillId="2" borderId="11" xfId="3" applyNumberFormat="1" applyFont="1" applyFill="1" applyBorder="1" applyProtection="1"/>
    <xf numFmtId="164" fontId="12" fillId="2" borderId="11" xfId="3" applyNumberFormat="1" applyFont="1" applyFill="1" applyBorder="1" applyProtection="1"/>
    <xf numFmtId="10" fontId="12" fillId="2" borderId="11" xfId="3" applyNumberFormat="1" applyFont="1" applyFill="1" applyBorder="1" applyProtection="1"/>
    <xf numFmtId="6" fontId="12" fillId="2" borderId="11" xfId="3" applyNumberFormat="1" applyFont="1" applyFill="1" applyBorder="1" applyProtection="1"/>
    <xf numFmtId="5" fontId="12" fillId="0" borderId="13" xfId="3" applyNumberFormat="1" applyFont="1" applyFill="1" applyBorder="1" applyProtection="1">
      <protection locked="0"/>
    </xf>
    <xf numFmtId="5" fontId="12" fillId="0" borderId="14" xfId="3" applyNumberFormat="1" applyFont="1" applyFill="1" applyBorder="1" applyProtection="1">
      <protection locked="0"/>
    </xf>
    <xf numFmtId="5" fontId="12" fillId="0" borderId="0" xfId="3" applyNumberFormat="1" applyFont="1" applyFill="1" applyBorder="1" applyProtection="1">
      <protection locked="0"/>
    </xf>
    <xf numFmtId="0" fontId="11" fillId="0" borderId="0" xfId="3" applyFont="1" applyFill="1" applyBorder="1" applyAlignment="1" applyProtection="1">
      <alignment vertical="center"/>
    </xf>
    <xf numFmtId="0" fontId="3" fillId="0" borderId="4" xfId="3" applyFont="1" applyBorder="1" applyAlignment="1" applyProtection="1">
      <alignment horizontal="center"/>
    </xf>
    <xf numFmtId="0" fontId="4" fillId="0" borderId="1" xfId="3" applyFont="1" applyBorder="1" applyAlignment="1" applyProtection="1">
      <alignment horizontal="center"/>
    </xf>
    <xf numFmtId="5" fontId="4" fillId="0" borderId="4" xfId="3" applyNumberFormat="1" applyFont="1" applyFill="1" applyBorder="1" applyProtection="1">
      <protection locked="0"/>
    </xf>
    <xf numFmtId="5" fontId="4" fillId="0" borderId="3" xfId="3" applyNumberFormat="1" applyFont="1" applyFill="1" applyBorder="1" applyProtection="1">
      <protection locked="0"/>
    </xf>
    <xf numFmtId="5" fontId="3" fillId="2" borderId="4" xfId="3" applyNumberFormat="1" applyFont="1" applyFill="1" applyBorder="1" applyProtection="1"/>
    <xf numFmtId="5" fontId="4" fillId="2" borderId="4" xfId="3" applyNumberFormat="1" applyFont="1" applyFill="1" applyBorder="1" applyProtection="1"/>
    <xf numFmtId="5" fontId="4" fillId="2" borderId="3" xfId="3" applyNumberFormat="1" applyFont="1" applyFill="1" applyBorder="1" applyProtection="1"/>
    <xf numFmtId="0" fontId="4" fillId="0" borderId="0" xfId="3" applyFont="1" applyBorder="1" applyAlignment="1" applyProtection="1">
      <alignment horizontal="center"/>
    </xf>
    <xf numFmtId="0" fontId="4" fillId="0" borderId="0" xfId="3" applyFont="1" applyBorder="1" applyAlignment="1" applyProtection="1"/>
    <xf numFmtId="0" fontId="3" fillId="0" borderId="0" xfId="3" applyFont="1" applyAlignment="1" applyProtection="1">
      <alignment horizontal="left"/>
    </xf>
    <xf numFmtId="0" fontId="11" fillId="0" borderId="15" xfId="3" applyFont="1" applyBorder="1" applyProtection="1"/>
    <xf numFmtId="0" fontId="12" fillId="0" borderId="16" xfId="3" applyFont="1" applyBorder="1" applyProtection="1"/>
    <xf numFmtId="5" fontId="12" fillId="0" borderId="17" xfId="3" applyNumberFormat="1" applyFont="1" applyFill="1" applyBorder="1" applyProtection="1">
      <protection locked="0"/>
    </xf>
    <xf numFmtId="0" fontId="12" fillId="0" borderId="16" xfId="3" applyFont="1" applyFill="1" applyBorder="1" applyProtection="1"/>
    <xf numFmtId="0" fontId="12" fillId="0" borderId="16" xfId="3" applyFont="1" applyFill="1" applyBorder="1" applyProtection="1">
      <protection locked="0"/>
    </xf>
    <xf numFmtId="0" fontId="12" fillId="0" borderId="16" xfId="3" applyFont="1" applyFill="1" applyBorder="1" applyAlignment="1" applyProtection="1">
      <alignment wrapText="1"/>
    </xf>
    <xf numFmtId="0" fontId="12" fillId="0" borderId="18" xfId="3" applyFont="1" applyFill="1" applyBorder="1" applyProtection="1"/>
    <xf numFmtId="0" fontId="11" fillId="0" borderId="19" xfId="3" applyFont="1" applyBorder="1" applyProtection="1"/>
    <xf numFmtId="10" fontId="12" fillId="0" borderId="20" xfId="3" applyNumberFormat="1" applyFont="1" applyBorder="1" applyAlignment="1" applyProtection="1">
      <alignment horizontal="center"/>
    </xf>
    <xf numFmtId="0" fontId="3" fillId="0" borderId="5" xfId="0" applyFont="1" applyFill="1" applyBorder="1" applyAlignment="1">
      <alignment wrapText="1"/>
    </xf>
    <xf numFmtId="0" fontId="4" fillId="0" borderId="5" xfId="0" applyFont="1" applyFill="1" applyBorder="1"/>
    <xf numFmtId="0" fontId="4" fillId="0" borderId="0" xfId="0" applyFont="1" applyBorder="1"/>
    <xf numFmtId="164" fontId="4" fillId="0" borderId="1" xfId="0" applyNumberFormat="1" applyFont="1" applyBorder="1" applyAlignment="1">
      <alignment horizontal="center"/>
    </xf>
    <xf numFmtId="0" fontId="4" fillId="0" borderId="4" xfId="0" applyFont="1" applyBorder="1" applyAlignment="1" applyProtection="1">
      <alignment horizontal="center"/>
      <protection locked="0"/>
    </xf>
    <xf numFmtId="0" fontId="3" fillId="0" borderId="6" xfId="0" applyFont="1" applyBorder="1"/>
    <xf numFmtId="0" fontId="3" fillId="0" borderId="6" xfId="0" applyFont="1" applyBorder="1" applyAlignment="1">
      <alignment horizontal="center"/>
    </xf>
    <xf numFmtId="0" fontId="4" fillId="0" borderId="3" xfId="0" applyFont="1" applyBorder="1" applyAlignment="1">
      <alignment horizontal="center"/>
    </xf>
    <xf numFmtId="0" fontId="3" fillId="0" borderId="9" xfId="0" applyFont="1" applyBorder="1" applyAlignment="1">
      <alignment horizontal="center"/>
    </xf>
    <xf numFmtId="37" fontId="4" fillId="0" borderId="0" xfId="3" applyNumberFormat="1" applyFont="1" applyProtection="1"/>
    <xf numFmtId="37" fontId="4" fillId="0" borderId="21" xfId="3" applyNumberFormat="1" applyFont="1" applyBorder="1" applyProtection="1"/>
    <xf numFmtId="37" fontId="4" fillId="0" borderId="0" xfId="3" applyNumberFormat="1" applyFont="1" applyBorder="1" applyProtection="1"/>
    <xf numFmtId="37" fontId="4" fillId="0" borderId="22" xfId="3" applyNumberFormat="1" applyFont="1" applyBorder="1" applyProtection="1"/>
    <xf numFmtId="37" fontId="4" fillId="0" borderId="23" xfId="3" applyNumberFormat="1" applyFont="1" applyBorder="1" applyProtection="1"/>
    <xf numFmtId="37" fontId="4" fillId="0" borderId="1" xfId="3" applyNumberFormat="1" applyFont="1" applyBorder="1" applyProtection="1"/>
    <xf numFmtId="37" fontId="4" fillId="0" borderId="24" xfId="3" applyNumberFormat="1" applyFont="1" applyBorder="1" applyProtection="1"/>
    <xf numFmtId="37" fontId="3" fillId="0" borderId="25" xfId="3" applyNumberFormat="1" applyFont="1" applyBorder="1" applyProtection="1"/>
    <xf numFmtId="37" fontId="3" fillId="0" borderId="26" xfId="3" applyNumberFormat="1" applyFont="1" applyBorder="1" applyProtection="1"/>
    <xf numFmtId="37" fontId="4" fillId="0" borderId="26" xfId="3" applyNumberFormat="1" applyFont="1" applyBorder="1" applyProtection="1"/>
    <xf numFmtId="37" fontId="3" fillId="0" borderId="27" xfId="3" applyNumberFormat="1" applyFont="1" applyBorder="1" applyProtection="1"/>
    <xf numFmtId="37" fontId="3" fillId="0" borderId="28" xfId="3" applyNumberFormat="1" applyFont="1" applyBorder="1" applyProtection="1"/>
    <xf numFmtId="37" fontId="4" fillId="0" borderId="29" xfId="3" applyNumberFormat="1" applyFont="1" applyBorder="1" applyProtection="1"/>
    <xf numFmtId="10" fontId="4" fillId="0" borderId="0" xfId="3" applyNumberFormat="1" applyFont="1" applyProtection="1"/>
    <xf numFmtId="168" fontId="4" fillId="0" borderId="0" xfId="3" applyNumberFormat="1" applyFont="1" applyProtection="1"/>
    <xf numFmtId="168" fontId="4" fillId="0" borderId="29" xfId="3" applyNumberFormat="1" applyFont="1" applyBorder="1" applyProtection="1"/>
    <xf numFmtId="37" fontId="6" fillId="0" borderId="0" xfId="3" applyNumberFormat="1" applyFont="1" applyProtection="1"/>
    <xf numFmtId="37" fontId="6" fillId="0" borderId="21" xfId="3" applyNumberFormat="1" applyFont="1" applyBorder="1" applyProtection="1"/>
    <xf numFmtId="5" fontId="4" fillId="0" borderId="0" xfId="3" applyNumberFormat="1" applyFont="1" applyProtection="1"/>
    <xf numFmtId="168" fontId="17" fillId="0" borderId="0" xfId="3" applyNumberFormat="1" applyFont="1" applyFill="1" applyProtection="1"/>
    <xf numFmtId="168" fontId="4" fillId="0" borderId="0" xfId="3" applyNumberFormat="1" applyFont="1" applyFill="1" applyProtection="1"/>
    <xf numFmtId="168" fontId="4" fillId="0" borderId="21" xfId="3" applyNumberFormat="1" applyFont="1" applyFill="1" applyBorder="1" applyProtection="1"/>
    <xf numFmtId="5" fontId="6" fillId="0" borderId="0" xfId="3" applyNumberFormat="1" applyFont="1" applyProtection="1"/>
    <xf numFmtId="169" fontId="4" fillId="0" borderId="0" xfId="3" applyNumberFormat="1" applyFont="1" applyProtection="1"/>
    <xf numFmtId="169" fontId="4" fillId="0" borderId="21" xfId="3" applyNumberFormat="1" applyFont="1" applyBorder="1" applyProtection="1"/>
    <xf numFmtId="37" fontId="4" fillId="0" borderId="25" xfId="3" applyNumberFormat="1" applyFont="1" applyBorder="1" applyProtection="1"/>
    <xf numFmtId="37" fontId="4" fillId="0" borderId="27" xfId="3" applyNumberFormat="1" applyFont="1" applyBorder="1" applyProtection="1"/>
    <xf numFmtId="37" fontId="4" fillId="0" borderId="28" xfId="3" applyNumberFormat="1" applyFont="1" applyBorder="1" applyProtection="1"/>
    <xf numFmtId="0" fontId="18" fillId="0" borderId="0" xfId="3" applyFont="1" applyProtection="1"/>
    <xf numFmtId="0" fontId="19" fillId="0" borderId="0" xfId="3" applyFont="1" applyProtection="1"/>
    <xf numFmtId="0" fontId="12" fillId="0" borderId="30" xfId="3" applyFont="1" applyBorder="1" applyProtection="1"/>
    <xf numFmtId="10" fontId="4" fillId="0" borderId="0" xfId="3" applyNumberFormat="1" applyFont="1" applyAlignment="1" applyProtection="1">
      <alignment horizontal="right"/>
    </xf>
    <xf numFmtId="37" fontId="4" fillId="0" borderId="0" xfId="3" applyNumberFormat="1" applyFont="1" applyAlignment="1" applyProtection="1">
      <alignment horizontal="right"/>
    </xf>
    <xf numFmtId="9" fontId="4" fillId="0" borderId="0" xfId="3" applyNumberFormat="1" applyFont="1" applyProtection="1"/>
    <xf numFmtId="5" fontId="4" fillId="0" borderId="0" xfId="3" applyNumberFormat="1" applyFont="1" applyAlignment="1" applyProtection="1">
      <alignment horizontal="right"/>
    </xf>
    <xf numFmtId="0" fontId="4" fillId="0" borderId="31" xfId="3" applyFont="1" applyBorder="1" applyAlignment="1" applyProtection="1">
      <alignment horizontal="center"/>
    </xf>
    <xf numFmtId="37" fontId="4" fillId="0" borderId="24" xfId="3" applyNumberFormat="1" applyFont="1" applyBorder="1" applyAlignment="1" applyProtection="1">
      <alignment horizontal="left"/>
    </xf>
    <xf numFmtId="0" fontId="12" fillId="0" borderId="32" xfId="3" applyFont="1" applyBorder="1" applyProtection="1"/>
    <xf numFmtId="0" fontId="4" fillId="0" borderId="33" xfId="3" applyFont="1" applyBorder="1" applyProtection="1"/>
    <xf numFmtId="0" fontId="18" fillId="0" borderId="25" xfId="3" applyFont="1" applyBorder="1" applyProtection="1"/>
    <xf numFmtId="37" fontId="6" fillId="0" borderId="0" xfId="3" applyNumberFormat="1" applyFont="1" applyProtection="1">
      <protection hidden="1"/>
    </xf>
    <xf numFmtId="170" fontId="4" fillId="0" borderId="0" xfId="3" applyNumberFormat="1" applyFont="1" applyProtection="1"/>
    <xf numFmtId="0" fontId="12" fillId="0" borderId="13" xfId="3" applyFont="1" applyBorder="1" applyProtection="1"/>
    <xf numFmtId="170" fontId="4" fillId="0" borderId="27" xfId="3" applyNumberFormat="1" applyFont="1" applyBorder="1" applyProtection="1"/>
    <xf numFmtId="37" fontId="4" fillId="0" borderId="33" xfId="3" applyNumberFormat="1" applyFont="1" applyBorder="1" applyProtection="1"/>
    <xf numFmtId="170" fontId="4" fillId="0" borderId="0" xfId="3" applyNumberFormat="1" applyFont="1" applyBorder="1" applyProtection="1"/>
    <xf numFmtId="0" fontId="4" fillId="0" borderId="27" xfId="3" applyFont="1" applyBorder="1" applyProtection="1"/>
    <xf numFmtId="0" fontId="12" fillId="0" borderId="30" xfId="3" quotePrefix="1" applyFont="1" applyBorder="1" applyProtection="1"/>
    <xf numFmtId="0" fontId="12" fillId="0" borderId="31" xfId="3" quotePrefix="1" applyFont="1" applyBorder="1" applyProtection="1"/>
    <xf numFmtId="0" fontId="4" fillId="0" borderId="1" xfId="3" applyFont="1" applyBorder="1" applyProtection="1"/>
    <xf numFmtId="0" fontId="15" fillId="0" borderId="0" xfId="3" applyFont="1" applyFill="1" applyAlignment="1" applyProtection="1"/>
    <xf numFmtId="0" fontId="4" fillId="0" borderId="0" xfId="0" applyFont="1" applyFill="1"/>
    <xf numFmtId="0" fontId="11" fillId="0" borderId="0" xfId="3" applyFont="1" applyFill="1" applyAlignment="1" applyProtection="1"/>
    <xf numFmtId="0" fontId="12" fillId="0" borderId="0" xfId="3" applyFont="1" applyBorder="1" applyAlignment="1" applyProtection="1"/>
    <xf numFmtId="0" fontId="12" fillId="0" borderId="10" xfId="3" applyFont="1" applyFill="1" applyBorder="1" applyAlignment="1" applyProtection="1">
      <alignment horizontal="center"/>
    </xf>
    <xf numFmtId="37" fontId="12" fillId="0" borderId="11" xfId="3" applyNumberFormat="1" applyFont="1" applyFill="1" applyBorder="1" applyAlignment="1" applyProtection="1">
      <alignment horizontal="center"/>
      <protection locked="0"/>
    </xf>
    <xf numFmtId="37" fontId="12" fillId="0" borderId="11" xfId="3" applyNumberFormat="1" applyFont="1" applyFill="1" applyBorder="1" applyAlignment="1" applyProtection="1">
      <alignment horizontal="center"/>
    </xf>
    <xf numFmtId="165" fontId="12" fillId="0" borderId="4" xfId="3" applyNumberFormat="1" applyFont="1" applyFill="1" applyBorder="1" applyAlignment="1" applyProtection="1">
      <alignment horizontal="center"/>
    </xf>
    <xf numFmtId="165" fontId="12" fillId="0" borderId="5" xfId="3" applyNumberFormat="1" applyFont="1" applyFill="1" applyBorder="1" applyAlignment="1" applyProtection="1">
      <alignment horizontal="center"/>
    </xf>
    <xf numFmtId="0" fontId="22" fillId="0" borderId="2" xfId="0" applyFont="1" applyBorder="1" applyAlignment="1"/>
    <xf numFmtId="37" fontId="3" fillId="2" borderId="27" xfId="3" applyNumberFormat="1" applyFont="1" applyFill="1" applyBorder="1" applyProtection="1"/>
    <xf numFmtId="167" fontId="4" fillId="0" borderId="22" xfId="3" applyNumberFormat="1" applyFont="1" applyFill="1" applyBorder="1" applyProtection="1"/>
    <xf numFmtId="167" fontId="4" fillId="0" borderId="35" xfId="3" applyNumberFormat="1" applyFont="1" applyFill="1" applyBorder="1" applyProtection="1"/>
    <xf numFmtId="167" fontId="4" fillId="0" borderId="25" xfId="3" applyNumberFormat="1" applyFont="1" applyFill="1" applyBorder="1" applyProtection="1"/>
    <xf numFmtId="167" fontId="4" fillId="0" borderId="24" xfId="3" applyNumberFormat="1" applyFont="1" applyFill="1" applyBorder="1" applyProtection="1"/>
    <xf numFmtId="0" fontId="12" fillId="0" borderId="1" xfId="3" applyFont="1" applyFill="1" applyBorder="1" applyAlignment="1" applyProtection="1">
      <alignment horizontal="center"/>
    </xf>
    <xf numFmtId="0" fontId="11" fillId="0" borderId="0" xfId="3" applyFont="1" applyAlignment="1" applyProtection="1"/>
    <xf numFmtId="0" fontId="15" fillId="0" borderId="1" xfId="3" applyFont="1" applyFill="1" applyBorder="1" applyAlignment="1" applyProtection="1"/>
    <xf numFmtId="0" fontId="15" fillId="0" borderId="0" xfId="3" applyFont="1" applyFill="1" applyAlignment="1" applyProtection="1">
      <alignment horizontal="left"/>
    </xf>
    <xf numFmtId="0" fontId="16" fillId="0" borderId="25" xfId="3" applyFont="1" applyBorder="1" applyAlignment="1" applyProtection="1">
      <alignment vertical="center"/>
    </xf>
    <xf numFmtId="0" fontId="8" fillId="0" borderId="25" xfId="0" applyFont="1" applyBorder="1" applyAlignment="1" applyProtection="1">
      <alignment vertical="center"/>
    </xf>
    <xf numFmtId="0" fontId="12" fillId="0" borderId="7" xfId="3" applyFont="1" applyFill="1" applyBorder="1" applyAlignment="1" applyProtection="1">
      <alignment horizontal="right"/>
    </xf>
    <xf numFmtId="10" fontId="12" fillId="0" borderId="6" xfId="4" applyNumberFormat="1" applyFont="1" applyFill="1" applyBorder="1" applyAlignment="1" applyProtection="1">
      <alignment horizontal="left"/>
    </xf>
    <xf numFmtId="0" fontId="11" fillId="2" borderId="27" xfId="3" applyFont="1" applyFill="1" applyBorder="1" applyAlignment="1" applyProtection="1">
      <alignment horizontal="right"/>
    </xf>
    <xf numFmtId="0" fontId="11" fillId="2" borderId="34" xfId="3" applyFont="1" applyFill="1" applyBorder="1" applyAlignment="1" applyProtection="1">
      <alignment horizontal="right"/>
    </xf>
    <xf numFmtId="0" fontId="12" fillId="0" borderId="2" xfId="3" applyFont="1" applyFill="1" applyBorder="1" applyAlignment="1" applyProtection="1">
      <alignment horizontal="right"/>
    </xf>
    <xf numFmtId="10" fontId="12" fillId="0" borderId="3" xfId="4" applyNumberFormat="1" applyFont="1" applyFill="1" applyBorder="1" applyAlignment="1" applyProtection="1">
      <alignment horizontal="left"/>
    </xf>
    <xf numFmtId="0" fontId="4" fillId="0" borderId="23" xfId="3" applyFont="1" applyBorder="1" applyProtection="1"/>
    <xf numFmtId="0" fontId="12" fillId="0" borderId="7" xfId="3" applyFont="1" applyBorder="1" applyProtection="1"/>
    <xf numFmtId="0" fontId="12" fillId="0" borderId="36" xfId="3" quotePrefix="1" applyFont="1" applyBorder="1" applyProtection="1"/>
    <xf numFmtId="37" fontId="4" fillId="0" borderId="0" xfId="3" applyNumberFormat="1" applyFont="1" applyFill="1" applyProtection="1"/>
    <xf numFmtId="37" fontId="4" fillId="0" borderId="21" xfId="3" applyNumberFormat="1" applyFont="1" applyFill="1" applyBorder="1" applyProtection="1"/>
    <xf numFmtId="0" fontId="12" fillId="0" borderId="37" xfId="3" quotePrefix="1" applyFont="1" applyBorder="1" applyProtection="1"/>
    <xf numFmtId="0" fontId="4" fillId="0" borderId="22" xfId="3" applyFont="1" applyBorder="1" applyProtection="1"/>
    <xf numFmtId="0" fontId="12" fillId="0" borderId="2" xfId="3" quotePrefix="1" applyFont="1" applyBorder="1" applyProtection="1"/>
    <xf numFmtId="0" fontId="11" fillId="0" borderId="38" xfId="3" quotePrefix="1" applyFont="1" applyBorder="1" applyProtection="1"/>
    <xf numFmtId="0" fontId="4" fillId="0" borderId="25" xfId="3" applyFont="1" applyBorder="1" applyProtection="1"/>
    <xf numFmtId="49" fontId="12" fillId="0" borderId="36" xfId="3" quotePrefix="1" applyNumberFormat="1" applyFont="1" applyBorder="1" applyProtection="1"/>
    <xf numFmtId="0" fontId="11" fillId="0" borderId="39" xfId="3" quotePrefix="1" applyFont="1" applyBorder="1" applyProtection="1"/>
    <xf numFmtId="0" fontId="12" fillId="0" borderId="36" xfId="3" applyFont="1" applyBorder="1" applyProtection="1"/>
    <xf numFmtId="0" fontId="11" fillId="2" borderId="39" xfId="3" quotePrefix="1" applyFont="1" applyFill="1" applyBorder="1" applyProtection="1"/>
    <xf numFmtId="0" fontId="4" fillId="2" borderId="27" xfId="3" applyFont="1" applyFill="1" applyBorder="1" applyProtection="1"/>
    <xf numFmtId="0" fontId="12" fillId="0" borderId="40" xfId="3" applyFont="1" applyFill="1" applyBorder="1" applyProtection="1"/>
    <xf numFmtId="0" fontId="4" fillId="0" borderId="22" xfId="3" applyFont="1" applyFill="1" applyBorder="1" applyProtection="1"/>
    <xf numFmtId="0" fontId="12" fillId="0" borderId="41" xfId="3" applyFont="1" applyFill="1" applyBorder="1" applyProtection="1"/>
    <xf numFmtId="0" fontId="4" fillId="0" borderId="25" xfId="3" applyFont="1" applyFill="1" applyBorder="1" applyProtection="1"/>
    <xf numFmtId="37" fontId="6" fillId="0" borderId="0" xfId="3" applyNumberFormat="1" applyFont="1" applyFill="1" applyProtection="1"/>
    <xf numFmtId="37" fontId="4" fillId="0" borderId="0" xfId="3" applyNumberFormat="1" applyFont="1" applyFill="1" applyBorder="1" applyProtection="1"/>
    <xf numFmtId="0" fontId="3" fillId="0" borderId="0" xfId="3" applyFont="1" applyProtection="1"/>
    <xf numFmtId="39" fontId="3" fillId="0" borderId="0" xfId="3" applyNumberFormat="1" applyFont="1" applyProtection="1"/>
    <xf numFmtId="0" fontId="4" fillId="0" borderId="29" xfId="3" applyFont="1" applyBorder="1" applyProtection="1"/>
    <xf numFmtId="0" fontId="19" fillId="0" borderId="42" xfId="3" applyFont="1" applyBorder="1" applyProtection="1"/>
    <xf numFmtId="0" fontId="20" fillId="0" borderId="0" xfId="3" applyFont="1" applyProtection="1"/>
    <xf numFmtId="37" fontId="4" fillId="0" borderId="0" xfId="3" applyNumberFormat="1" applyFont="1" applyProtection="1">
      <protection locked="0"/>
    </xf>
    <xf numFmtId="37" fontId="4" fillId="0" borderId="21" xfId="3" applyNumberFormat="1" applyFont="1" applyBorder="1" applyProtection="1">
      <protection locked="0"/>
    </xf>
    <xf numFmtId="0" fontId="11" fillId="0" borderId="0" xfId="0" applyFont="1" applyProtection="1"/>
    <xf numFmtId="0" fontId="12" fillId="0" borderId="0" xfId="0" applyFont="1" applyProtection="1"/>
    <xf numFmtId="0" fontId="12" fillId="0" borderId="1" xfId="0" applyFont="1" applyBorder="1" applyAlignment="1" applyProtection="1">
      <alignment horizontal="center"/>
    </xf>
    <xf numFmtId="0" fontId="12" fillId="0" borderId="0" xfId="0" applyFont="1" applyBorder="1" applyAlignment="1" applyProtection="1"/>
    <xf numFmtId="0" fontId="11" fillId="0" borderId="0" xfId="0" applyFont="1" applyAlignment="1" applyProtection="1">
      <alignment horizontal="right"/>
    </xf>
    <xf numFmtId="0" fontId="12" fillId="0" borderId="0" xfId="0" applyFont="1" applyBorder="1" applyAlignment="1" applyProtection="1">
      <alignment horizontal="center"/>
    </xf>
    <xf numFmtId="5" fontId="10" fillId="0" borderId="0" xfId="0" applyNumberFormat="1" applyFont="1" applyProtection="1"/>
    <xf numFmtId="6" fontId="11" fillId="2" borderId="4" xfId="3" applyNumberFormat="1" applyFont="1" applyFill="1" applyBorder="1" applyAlignment="1" applyProtection="1"/>
    <xf numFmtId="0" fontId="12" fillId="0" borderId="0" xfId="0" applyFont="1" applyFill="1" applyAlignment="1" applyProtection="1">
      <alignment horizontal="right"/>
    </xf>
    <xf numFmtId="6" fontId="12" fillId="0" borderId="0" xfId="0" applyNumberFormat="1" applyFont="1" applyProtection="1"/>
    <xf numFmtId="0" fontId="23" fillId="0" borderId="0" xfId="0" applyFont="1" applyProtection="1"/>
    <xf numFmtId="0" fontId="12" fillId="0" borderId="0" xfId="3" applyFont="1" applyFill="1" applyBorder="1" applyAlignment="1" applyProtection="1"/>
    <xf numFmtId="0" fontId="4" fillId="0" borderId="0" xfId="0" applyFont="1" applyBorder="1" applyAlignment="1"/>
    <xf numFmtId="7" fontId="4" fillId="0" borderId="0" xfId="3" applyNumberFormat="1" applyFont="1" applyProtection="1"/>
    <xf numFmtId="0" fontId="4" fillId="0" borderId="0" xfId="3" applyFont="1" applyFill="1" applyProtection="1"/>
    <xf numFmtId="0" fontId="9" fillId="0" borderId="0" xfId="3" applyFont="1" applyAlignment="1" applyProtection="1">
      <alignment horizontal="center"/>
    </xf>
    <xf numFmtId="0" fontId="9" fillId="0" borderId="0" xfId="0" applyFont="1" applyAlignment="1" applyProtection="1">
      <alignment horizontal="center"/>
    </xf>
    <xf numFmtId="0" fontId="11" fillId="0" borderId="43" xfId="3" applyFont="1" applyFill="1" applyBorder="1" applyAlignment="1" applyProtection="1">
      <alignment horizontal="center"/>
    </xf>
    <xf numFmtId="0" fontId="11" fillId="0" borderId="6" xfId="3" applyFont="1" applyFill="1" applyBorder="1" applyAlignment="1" applyProtection="1">
      <alignment horizontal="center"/>
    </xf>
    <xf numFmtId="0" fontId="11" fillId="0" borderId="38" xfId="3" applyFont="1" applyBorder="1" applyAlignment="1" applyProtection="1">
      <alignment horizontal="center"/>
    </xf>
    <xf numFmtId="0" fontId="11" fillId="0" borderId="4" xfId="3" applyFont="1" applyFill="1" applyBorder="1" applyAlignment="1" applyProtection="1">
      <alignment horizontal="center" wrapText="1"/>
    </xf>
    <xf numFmtId="165" fontId="11" fillId="0" borderId="4" xfId="3" applyNumberFormat="1" applyFont="1" applyFill="1" applyBorder="1" applyAlignment="1" applyProtection="1">
      <alignment horizontal="center" vertical="center" wrapText="1"/>
    </xf>
    <xf numFmtId="0" fontId="11" fillId="0" borderId="4" xfId="3" applyFont="1" applyFill="1" applyBorder="1" applyAlignment="1" applyProtection="1">
      <alignment horizontal="center" vertical="center" wrapText="1"/>
    </xf>
    <xf numFmtId="0" fontId="12" fillId="0" borderId="4" xfId="3" applyFont="1" applyBorder="1" applyAlignment="1" applyProtection="1"/>
    <xf numFmtId="5" fontId="12" fillId="2" borderId="4" xfId="3" applyNumberFormat="1" applyFont="1" applyFill="1" applyBorder="1" applyProtection="1"/>
    <xf numFmtId="0" fontId="5" fillId="0" borderId="3" xfId="0" applyFont="1" applyBorder="1" applyAlignment="1">
      <alignment horizontal="center"/>
    </xf>
    <xf numFmtId="6" fontId="12" fillId="2" borderId="11" xfId="4" applyNumberFormat="1" applyFont="1" applyFill="1" applyBorder="1" applyProtection="1"/>
    <xf numFmtId="10" fontId="12" fillId="0" borderId="4" xfId="3" applyNumberFormat="1" applyFont="1" applyFill="1" applyBorder="1" applyAlignment="1" applyProtection="1">
      <alignment horizontal="center"/>
      <protection locked="0"/>
    </xf>
    <xf numFmtId="171" fontId="12" fillId="0" borderId="4" xfId="3" applyNumberFormat="1" applyFont="1" applyFill="1" applyBorder="1" applyAlignment="1" applyProtection="1">
      <alignment horizontal="center"/>
      <protection locked="0"/>
    </xf>
    <xf numFmtId="0" fontId="4" fillId="0" borderId="1" xfId="0" applyFont="1" applyBorder="1" applyAlignment="1" applyProtection="1">
      <alignment horizontal="center"/>
    </xf>
    <xf numFmtId="1" fontId="4" fillId="0" borderId="1" xfId="0" applyNumberFormat="1" applyFont="1" applyBorder="1" applyAlignment="1" applyProtection="1">
      <alignment horizontal="center"/>
    </xf>
    <xf numFmtId="0" fontId="4" fillId="0" borderId="1" xfId="0" applyFont="1" applyFill="1" applyBorder="1" applyAlignment="1" applyProtection="1">
      <alignment horizontal="center"/>
      <protection locked="0"/>
    </xf>
    <xf numFmtId="3" fontId="4" fillId="0" borderId="4" xfId="1" applyNumberFormat="1" applyFont="1" applyBorder="1" applyAlignment="1" applyProtection="1">
      <alignment horizontal="center"/>
      <protection locked="0"/>
    </xf>
    <xf numFmtId="3" fontId="4" fillId="0" borderId="4" xfId="0" applyNumberFormat="1" applyFont="1" applyBorder="1" applyAlignment="1" applyProtection="1">
      <alignment horizontal="center"/>
      <protection locked="0"/>
    </xf>
    <xf numFmtId="0" fontId="4" fillId="0" borderId="33" xfId="0" applyFont="1" applyBorder="1" applyAlignment="1" applyProtection="1">
      <alignment horizontal="center"/>
      <protection locked="0"/>
    </xf>
    <xf numFmtId="5" fontId="3" fillId="2" borderId="3" xfId="3" applyNumberFormat="1" applyFont="1" applyFill="1" applyBorder="1" applyProtection="1"/>
    <xf numFmtId="0" fontId="11" fillId="0" borderId="6" xfId="3" applyFont="1" applyBorder="1" applyAlignment="1" applyProtection="1">
      <alignment horizontal="center"/>
    </xf>
    <xf numFmtId="0" fontId="11" fillId="0" borderId="43" xfId="3" applyFont="1" applyBorder="1" applyAlignment="1" applyProtection="1">
      <alignment horizontal="center"/>
    </xf>
    <xf numFmtId="0" fontId="12" fillId="3" borderId="13" xfId="3" applyFont="1" applyFill="1" applyBorder="1" applyProtection="1"/>
    <xf numFmtId="0" fontId="3" fillId="2" borderId="27" xfId="3" applyFont="1" applyFill="1" applyBorder="1" applyAlignment="1" applyProtection="1">
      <alignment horizontal="center"/>
    </xf>
    <xf numFmtId="0" fontId="3" fillId="2" borderId="34" xfId="3" applyFont="1" applyFill="1" applyBorder="1" applyAlignment="1" applyProtection="1">
      <alignment horizontal="center"/>
    </xf>
    <xf numFmtId="37" fontId="4" fillId="0" borderId="33" xfId="3" applyNumberFormat="1" applyFont="1" applyFill="1" applyBorder="1" applyProtection="1"/>
    <xf numFmtId="0" fontId="12" fillId="2" borderId="5" xfId="3" applyFont="1" applyFill="1" applyBorder="1" applyProtection="1"/>
    <xf numFmtId="37" fontId="4" fillId="2" borderId="33" xfId="3" applyNumberFormat="1" applyFont="1" applyFill="1" applyBorder="1" applyProtection="1"/>
    <xf numFmtId="0" fontId="3" fillId="2" borderId="33" xfId="3" applyFont="1" applyFill="1" applyBorder="1" applyAlignment="1" applyProtection="1">
      <alignment horizontal="center"/>
    </xf>
    <xf numFmtId="0" fontId="3" fillId="2" borderId="45" xfId="3" applyFont="1" applyFill="1" applyBorder="1" applyAlignment="1" applyProtection="1">
      <alignment horizontal="center"/>
    </xf>
    <xf numFmtId="0" fontId="23" fillId="0" borderId="0" xfId="0" applyFont="1"/>
    <xf numFmtId="0" fontId="9" fillId="0" borderId="0" xfId="0" applyFont="1" applyAlignment="1"/>
    <xf numFmtId="0" fontId="23" fillId="0" borderId="1" xfId="0" applyFont="1" applyBorder="1" applyAlignment="1">
      <alignment horizontal="center"/>
    </xf>
    <xf numFmtId="0" fontId="23" fillId="0" borderId="0" xfId="0" applyFont="1" applyAlignment="1">
      <alignment horizontal="right"/>
    </xf>
    <xf numFmtId="0" fontId="23" fillId="0" borderId="0" xfId="0" applyFont="1" applyBorder="1" applyAlignment="1"/>
    <xf numFmtId="0" fontId="23" fillId="0" borderId="1" xfId="0" applyFont="1" applyBorder="1" applyAlignment="1" applyProtection="1">
      <alignment horizontal="center"/>
      <protection locked="0"/>
    </xf>
    <xf numFmtId="0" fontId="23" fillId="0" borderId="0" xfId="0" applyFont="1" applyBorder="1"/>
    <xf numFmtId="0" fontId="24" fillId="0" borderId="0" xfId="0" applyFont="1"/>
    <xf numFmtId="0" fontId="23" fillId="0" borderId="0" xfId="0" applyFont="1" applyAlignment="1"/>
    <xf numFmtId="0" fontId="23" fillId="0" borderId="0" xfId="0" applyFont="1" applyAlignment="1">
      <alignment horizontal="center"/>
    </xf>
    <xf numFmtId="0" fontId="23" fillId="0" borderId="33" xfId="0" applyFont="1" applyBorder="1" applyAlignment="1" applyProtection="1">
      <alignment horizontal="center"/>
      <protection locked="0"/>
    </xf>
    <xf numFmtId="0" fontId="23" fillId="0" borderId="0" xfId="0" applyFont="1" applyBorder="1" applyAlignment="1">
      <alignment horizontal="center"/>
    </xf>
    <xf numFmtId="0" fontId="12" fillId="0" borderId="18" xfId="3" applyFont="1" applyFill="1" applyBorder="1" applyProtection="1">
      <protection locked="0"/>
    </xf>
    <xf numFmtId="37" fontId="4" fillId="0" borderId="0" xfId="3" applyNumberFormat="1" applyFont="1" applyFill="1" applyAlignment="1" applyProtection="1">
      <alignment horizontal="center"/>
    </xf>
    <xf numFmtId="0" fontId="25" fillId="0" borderId="0" xfId="0" applyFont="1" applyProtection="1"/>
    <xf numFmtId="10" fontId="12" fillId="0" borderId="11" xfId="3" applyNumberFormat="1" applyFont="1" applyFill="1" applyBorder="1" applyAlignment="1" applyProtection="1">
      <alignment horizontal="center"/>
      <protection locked="0"/>
    </xf>
    <xf numFmtId="10" fontId="12" fillId="0" borderId="4" xfId="3" applyNumberFormat="1" applyFont="1" applyFill="1" applyBorder="1" applyAlignment="1" applyProtection="1">
      <alignment horizontal="center"/>
    </xf>
    <xf numFmtId="5" fontId="6" fillId="0" borderId="0" xfId="0" applyNumberFormat="1" applyFont="1" applyFill="1"/>
    <xf numFmtId="5" fontId="6" fillId="0" borderId="0" xfId="0" applyNumberFormat="1" applyFont="1"/>
    <xf numFmtId="0" fontId="4" fillId="0" borderId="0" xfId="0" applyFont="1" applyAlignment="1"/>
    <xf numFmtId="164" fontId="12" fillId="0" borderId="46" xfId="3" applyNumberFormat="1" applyFont="1" applyBorder="1" applyAlignment="1" applyProtection="1">
      <alignment horizontal="center"/>
      <protection locked="0"/>
    </xf>
    <xf numFmtId="0" fontId="12" fillId="0" borderId="0" xfId="0" applyFont="1" applyAlignment="1" applyProtection="1">
      <alignment vertical="top" wrapText="1"/>
    </xf>
    <xf numFmtId="0" fontId="11" fillId="0" borderId="0" xfId="0" applyFont="1" applyAlignment="1" applyProtection="1">
      <alignment horizontal="center"/>
    </xf>
    <xf numFmtId="0" fontId="12" fillId="0" borderId="0" xfId="0" applyFont="1" applyAlignment="1" applyProtection="1">
      <alignment vertical="top"/>
    </xf>
    <xf numFmtId="0" fontId="26" fillId="0" borderId="0" xfId="2" applyAlignment="1" applyProtection="1">
      <alignment vertical="top"/>
    </xf>
    <xf numFmtId="0" fontId="6" fillId="0" borderId="0" xfId="0" applyFont="1" applyAlignment="1" applyProtection="1">
      <alignment horizontal="center"/>
    </xf>
    <xf numFmtId="14" fontId="6" fillId="0" borderId="0" xfId="0" applyNumberFormat="1" applyFont="1" applyAlignment="1" applyProtection="1">
      <alignment horizontal="center"/>
    </xf>
    <xf numFmtId="0" fontId="10" fillId="0" borderId="0" xfId="0" applyFont="1" applyProtection="1"/>
    <xf numFmtId="0" fontId="23" fillId="0" borderId="0" xfId="0" applyFont="1" applyAlignment="1">
      <alignment horizontal="left"/>
    </xf>
    <xf numFmtId="0" fontId="12" fillId="0" borderId="0" xfId="0" applyFont="1" applyAlignment="1" applyProtection="1"/>
    <xf numFmtId="164" fontId="23" fillId="0" borderId="1" xfId="0" applyNumberFormat="1" applyFont="1" applyBorder="1" applyAlignment="1">
      <alignment horizontal="center"/>
    </xf>
    <xf numFmtId="0" fontId="27" fillId="0" borderId="0" xfId="0" applyFont="1"/>
    <xf numFmtId="0" fontId="12" fillId="0" borderId="0" xfId="0" applyNumberFormat="1" applyFont="1" applyBorder="1" applyAlignment="1" applyProtection="1"/>
    <xf numFmtId="165" fontId="4" fillId="0" borderId="4" xfId="0" applyNumberFormat="1" applyFont="1" applyBorder="1" applyAlignment="1">
      <alignment horizontal="center"/>
    </xf>
    <xf numFmtId="0" fontId="4" fillId="0" borderId="0" xfId="0" applyFont="1" applyAlignment="1" applyProtection="1"/>
    <xf numFmtId="164" fontId="3" fillId="0" borderId="45" xfId="0" applyNumberFormat="1" applyFont="1" applyFill="1" applyBorder="1" applyAlignment="1">
      <alignment horizontal="center" wrapText="1"/>
    </xf>
    <xf numFmtId="0" fontId="28" fillId="0" borderId="0" xfId="0" applyFont="1"/>
    <xf numFmtId="1" fontId="12" fillId="0" borderId="1" xfId="3" applyNumberFormat="1" applyFont="1" applyBorder="1" applyAlignment="1" applyProtection="1">
      <alignment horizontal="center"/>
      <protection locked="0"/>
    </xf>
    <xf numFmtId="0" fontId="11" fillId="0" borderId="0" xfId="3" applyFont="1" applyAlignment="1" applyProtection="1">
      <alignment horizontal="center"/>
    </xf>
    <xf numFmtId="0" fontId="12" fillId="0" borderId="11" xfId="3" applyFont="1" applyFill="1" applyBorder="1" applyAlignment="1" applyProtection="1"/>
    <xf numFmtId="0" fontId="12" fillId="0" borderId="11" xfId="3" quotePrefix="1" applyFont="1" applyFill="1" applyBorder="1" applyProtection="1"/>
    <xf numFmtId="0" fontId="12" fillId="4" borderId="11" xfId="3" applyFont="1" applyFill="1" applyBorder="1" applyProtection="1"/>
    <xf numFmtId="0" fontId="12" fillId="0" borderId="0" xfId="0" applyFont="1" applyFill="1" applyProtection="1"/>
    <xf numFmtId="0" fontId="12" fillId="0" borderId="3" xfId="3" applyFont="1" applyBorder="1" applyAlignment="1" applyProtection="1">
      <alignment horizontal="center"/>
    </xf>
    <xf numFmtId="5" fontId="12" fillId="5" borderId="11" xfId="3" applyNumberFormat="1" applyFont="1" applyFill="1" applyBorder="1" applyProtection="1"/>
    <xf numFmtId="0" fontId="12" fillId="0" borderId="11" xfId="3" applyFont="1" applyBorder="1" applyProtection="1">
      <protection locked="0"/>
    </xf>
    <xf numFmtId="0" fontId="12" fillId="0" borderId="11" xfId="3" applyFont="1" applyBorder="1" applyAlignment="1" applyProtection="1">
      <alignment wrapText="1"/>
      <protection locked="0"/>
    </xf>
    <xf numFmtId="164" fontId="4" fillId="0" borderId="45" xfId="0" applyNumberFormat="1" applyFont="1" applyFill="1" applyBorder="1" applyAlignment="1">
      <alignment horizontal="center"/>
    </xf>
    <xf numFmtId="5" fontId="12" fillId="3" borderId="11" xfId="3" applyNumberFormat="1" applyFont="1" applyFill="1" applyBorder="1" applyProtection="1"/>
    <xf numFmtId="0" fontId="12" fillId="0" borderId="0" xfId="3" applyFont="1" applyAlignment="1" applyProtection="1">
      <alignment horizontal="center"/>
    </xf>
    <xf numFmtId="164" fontId="12" fillId="0" borderId="20" xfId="4" applyNumberFormat="1" applyFont="1" applyBorder="1" applyAlignment="1" applyProtection="1">
      <alignment horizontal="center"/>
    </xf>
    <xf numFmtId="164" fontId="12" fillId="0" borderId="46" xfId="3" applyNumberFormat="1" applyFont="1" applyFill="1" applyBorder="1" applyProtection="1"/>
    <xf numFmtId="0" fontId="12" fillId="0" borderId="7" xfId="3" applyFont="1" applyBorder="1" applyAlignment="1" applyProtection="1">
      <alignment horizontal="center"/>
    </xf>
    <xf numFmtId="38" fontId="12" fillId="0" borderId="24" xfId="3" applyNumberFormat="1" applyFont="1" applyBorder="1" applyProtection="1"/>
    <xf numFmtId="0" fontId="3" fillId="0" borderId="0" xfId="0" applyFont="1" applyAlignment="1">
      <alignment horizontal="right"/>
    </xf>
    <xf numFmtId="0" fontId="30" fillId="0" borderId="0" xfId="2" applyFont="1" applyAlignment="1" applyProtection="1">
      <alignment vertical="top"/>
    </xf>
    <xf numFmtId="0" fontId="12" fillId="0" borderId="11" xfId="3" applyFont="1" applyFill="1" applyBorder="1" applyAlignment="1" applyProtection="1">
      <alignment horizontal="center"/>
    </xf>
    <xf numFmtId="5" fontId="12" fillId="0" borderId="11" xfId="3" applyNumberFormat="1" applyFont="1" applyFill="1" applyBorder="1" applyProtection="1"/>
    <xf numFmtId="0" fontId="12" fillId="0" borderId="4" xfId="3" applyFont="1" applyBorder="1" applyProtection="1"/>
    <xf numFmtId="164" fontId="12" fillId="0" borderId="13" xfId="3" applyNumberFormat="1" applyFont="1" applyFill="1" applyBorder="1" applyProtection="1"/>
    <xf numFmtId="164" fontId="12" fillId="0" borderId="34" xfId="3" applyNumberFormat="1" applyFont="1" applyFill="1" applyBorder="1" applyProtection="1"/>
    <xf numFmtId="164" fontId="12" fillId="0" borderId="40" xfId="3" applyNumberFormat="1" applyFont="1" applyFill="1" applyBorder="1" applyProtection="1"/>
    <xf numFmtId="164" fontId="12" fillId="0" borderId="35" xfId="3" applyNumberFormat="1" applyFont="1" applyFill="1" applyBorder="1" applyProtection="1"/>
    <xf numFmtId="164" fontId="12" fillId="0" borderId="30" xfId="3" applyNumberFormat="1" applyFont="1" applyFill="1" applyBorder="1" applyProtection="1"/>
    <xf numFmtId="164" fontId="12" fillId="0" borderId="29" xfId="3" applyNumberFormat="1" applyFont="1" applyFill="1" applyBorder="1" applyProtection="1"/>
    <xf numFmtId="164" fontId="12" fillId="0" borderId="41" xfId="3" applyNumberFormat="1" applyFont="1" applyFill="1" applyBorder="1" applyProtection="1"/>
    <xf numFmtId="164" fontId="12" fillId="0" borderId="12" xfId="3" applyNumberFormat="1" applyFont="1" applyFill="1" applyBorder="1" applyProtection="1"/>
    <xf numFmtId="10" fontId="12" fillId="0" borderId="11" xfId="4" applyNumberFormat="1" applyFont="1" applyFill="1" applyBorder="1" applyProtection="1"/>
    <xf numFmtId="10" fontId="12" fillId="0" borderId="11" xfId="3" applyNumberFormat="1" applyFont="1" applyFill="1" applyBorder="1" applyProtection="1"/>
    <xf numFmtId="0" fontId="12" fillId="0" borderId="10" xfId="3" applyFont="1" applyBorder="1" applyProtection="1"/>
    <xf numFmtId="9" fontId="12" fillId="0" borderId="11" xfId="3" applyNumberFormat="1" applyFont="1" applyFill="1" applyBorder="1" applyProtection="1">
      <protection locked="0"/>
    </xf>
    <xf numFmtId="10" fontId="12" fillId="0" borderId="11" xfId="4" applyNumberFormat="1" applyFont="1" applyFill="1" applyBorder="1" applyProtection="1">
      <protection locked="0"/>
    </xf>
    <xf numFmtId="174" fontId="4" fillId="0" borderId="0" xfId="3" applyNumberFormat="1" applyFont="1" applyProtection="1"/>
    <xf numFmtId="38" fontId="12" fillId="0" borderId="36" xfId="3" applyNumberFormat="1" applyFont="1" applyBorder="1" applyProtection="1"/>
    <xf numFmtId="38" fontId="12" fillId="0" borderId="0" xfId="3" applyNumberFormat="1" applyFont="1" applyBorder="1" applyProtection="1"/>
    <xf numFmtId="0" fontId="12" fillId="0" borderId="8" xfId="3" applyFont="1" applyBorder="1" applyProtection="1"/>
    <xf numFmtId="0" fontId="12" fillId="0" borderId="1" xfId="3" applyFont="1" applyBorder="1" applyAlignment="1" applyProtection="1">
      <alignment horizontal="right"/>
    </xf>
    <xf numFmtId="0" fontId="12" fillId="0" borderId="24" xfId="3" applyFont="1" applyBorder="1" applyAlignment="1" applyProtection="1">
      <alignment horizontal="center"/>
    </xf>
    <xf numFmtId="3" fontId="12" fillId="0" borderId="7" xfId="3" applyNumberFormat="1" applyFont="1" applyBorder="1" applyAlignment="1" applyProtection="1">
      <alignment horizontal="center"/>
    </xf>
    <xf numFmtId="3" fontId="12" fillId="0" borderId="2" xfId="3" applyNumberFormat="1" applyFont="1" applyBorder="1" applyAlignment="1" applyProtection="1">
      <alignment horizontal="center"/>
    </xf>
    <xf numFmtId="5" fontId="12" fillId="0" borderId="50" xfId="3" applyNumberFormat="1" applyFont="1" applyFill="1" applyBorder="1" applyProtection="1"/>
    <xf numFmtId="5" fontId="12" fillId="0" borderId="51" xfId="3" applyNumberFormat="1" applyFont="1" applyFill="1" applyBorder="1" applyProtection="1"/>
    <xf numFmtId="5" fontId="12" fillId="0" borderId="52" xfId="3" applyNumberFormat="1" applyFont="1" applyFill="1" applyBorder="1" applyProtection="1"/>
    <xf numFmtId="10" fontId="12" fillId="0" borderId="7" xfId="3" applyNumberFormat="1" applyFont="1" applyFill="1" applyBorder="1" applyAlignment="1" applyProtection="1"/>
    <xf numFmtId="0" fontId="12" fillId="0" borderId="10" xfId="3" applyFont="1" applyFill="1" applyBorder="1" applyAlignment="1" applyProtection="1"/>
    <xf numFmtId="10" fontId="12" fillId="0" borderId="36" xfId="3" applyNumberFormat="1" applyFont="1" applyFill="1" applyBorder="1" applyAlignment="1" applyProtection="1"/>
    <xf numFmtId="166" fontId="12" fillId="0" borderId="21" xfId="3" applyNumberFormat="1" applyFont="1" applyFill="1" applyBorder="1" applyAlignment="1" applyProtection="1"/>
    <xf numFmtId="37" fontId="12" fillId="0" borderId="0" xfId="3" applyNumberFormat="1" applyFont="1" applyFill="1" applyBorder="1" applyAlignment="1" applyProtection="1"/>
    <xf numFmtId="0" fontId="12" fillId="0" borderId="21" xfId="3" applyFont="1" applyFill="1" applyBorder="1" applyAlignment="1" applyProtection="1"/>
    <xf numFmtId="10" fontId="12" fillId="0" borderId="36" xfId="3" applyNumberFormat="1" applyFont="1" applyFill="1" applyBorder="1" applyProtection="1"/>
    <xf numFmtId="37" fontId="12" fillId="0" borderId="0" xfId="3" applyNumberFormat="1" applyFont="1" applyFill="1" applyBorder="1" applyProtection="1"/>
    <xf numFmtId="5" fontId="12" fillId="0" borderId="21" xfId="3" applyNumberFormat="1" applyFont="1" applyFill="1" applyBorder="1" applyProtection="1"/>
    <xf numFmtId="10" fontId="12" fillId="0" borderId="2" xfId="3" applyNumberFormat="1" applyFont="1" applyFill="1" applyBorder="1" applyAlignment="1" applyProtection="1"/>
    <xf numFmtId="37" fontId="12" fillId="0" borderId="1" xfId="3" applyNumberFormat="1" applyFont="1" applyFill="1" applyBorder="1" applyAlignment="1" applyProtection="1"/>
    <xf numFmtId="5" fontId="11" fillId="0" borderId="24" xfId="3" applyNumberFormat="1" applyFont="1" applyFill="1" applyBorder="1" applyAlignment="1" applyProtection="1"/>
    <xf numFmtId="5" fontId="12" fillId="0" borderId="53" xfId="3" applyNumberFormat="1" applyFont="1" applyFill="1" applyBorder="1" applyProtection="1"/>
    <xf numFmtId="0" fontId="32" fillId="0" borderId="0" xfId="0" applyFont="1"/>
    <xf numFmtId="37" fontId="3" fillId="2" borderId="28" xfId="3" applyNumberFormat="1" applyFont="1" applyFill="1" applyBorder="1" applyProtection="1"/>
    <xf numFmtId="0" fontId="33" fillId="0" borderId="0" xfId="0" applyFont="1" applyAlignment="1">
      <alignment horizontal="right"/>
    </xf>
    <xf numFmtId="0" fontId="33" fillId="0" borderId="0" xfId="0" applyFont="1"/>
    <xf numFmtId="0" fontId="33" fillId="0" borderId="0" xfId="0" applyFont="1" applyAlignment="1">
      <alignment horizontal="center"/>
    </xf>
    <xf numFmtId="0" fontId="4" fillId="0" borderId="1" xfId="3" applyFont="1" applyFill="1" applyBorder="1" applyAlignment="1" applyProtection="1">
      <alignment wrapText="1"/>
    </xf>
    <xf numFmtId="0" fontId="9" fillId="0" borderId="0" xfId="0" applyFont="1" applyAlignment="1">
      <alignment horizontal="center"/>
    </xf>
    <xf numFmtId="0" fontId="3" fillId="0" borderId="0" xfId="0" applyFont="1" applyBorder="1" applyAlignment="1">
      <alignment horizontal="center"/>
    </xf>
    <xf numFmtId="0" fontId="11" fillId="0" borderId="11" xfId="3" applyFont="1" applyFill="1" applyBorder="1" applyProtection="1"/>
    <xf numFmtId="10" fontId="4" fillId="0" borderId="5" xfId="0" applyNumberFormat="1" applyFont="1" applyBorder="1" applyAlignment="1" applyProtection="1">
      <alignment horizontal="center"/>
      <protection locked="0"/>
    </xf>
    <xf numFmtId="5" fontId="4" fillId="5" borderId="33" xfId="3" applyNumberFormat="1" applyFont="1" applyFill="1" applyBorder="1" applyProtection="1"/>
    <xf numFmtId="37" fontId="4" fillId="5" borderId="33" xfId="3" applyNumberFormat="1" applyFont="1" applyFill="1" applyBorder="1" applyProtection="1"/>
    <xf numFmtId="37" fontId="4" fillId="5" borderId="44" xfId="3" applyNumberFormat="1" applyFont="1" applyFill="1" applyBorder="1" applyProtection="1"/>
    <xf numFmtId="0" fontId="4" fillId="0" borderId="0" xfId="0" applyFont="1" applyFill="1" applyAlignment="1">
      <alignment horizontal="center"/>
    </xf>
    <xf numFmtId="164" fontId="3" fillId="0" borderId="10" xfId="0" applyNumberFormat="1" applyFont="1" applyFill="1" applyBorder="1" applyAlignment="1"/>
    <xf numFmtId="164" fontId="3" fillId="0" borderId="5" xfId="0" applyNumberFormat="1" applyFont="1" applyBorder="1" applyAlignment="1">
      <alignment horizontal="center"/>
    </xf>
    <xf numFmtId="164" fontId="3" fillId="0" borderId="4" xfId="0" applyNumberFormat="1" applyFont="1" applyBorder="1" applyAlignment="1">
      <alignment horizontal="center"/>
    </xf>
    <xf numFmtId="164" fontId="3" fillId="0" borderId="4" xfId="0" applyNumberFormat="1" applyFont="1" applyFill="1" applyBorder="1" applyAlignment="1">
      <alignment horizontal="center"/>
    </xf>
    <xf numFmtId="164" fontId="3" fillId="0" borderId="45" xfId="0" applyNumberFormat="1" applyFont="1" applyBorder="1" applyAlignment="1">
      <alignment horizontal="center"/>
    </xf>
    <xf numFmtId="0" fontId="3" fillId="0" borderId="33" xfId="0" applyFont="1" applyBorder="1" applyAlignment="1">
      <alignment horizontal="center" wrapText="1"/>
    </xf>
    <xf numFmtId="10" fontId="12" fillId="0" borderId="20" xfId="3" applyNumberFormat="1" applyFont="1" applyBorder="1" applyProtection="1"/>
    <xf numFmtId="10" fontId="12" fillId="0" borderId="54" xfId="3" applyNumberFormat="1" applyFont="1" applyBorder="1" applyProtection="1"/>
    <xf numFmtId="10" fontId="12" fillId="0" borderId="46" xfId="3" applyNumberFormat="1" applyFont="1" applyBorder="1" applyProtection="1"/>
    <xf numFmtId="164" fontId="12" fillId="0" borderId="20" xfId="3" applyNumberFormat="1" applyFont="1" applyBorder="1" applyAlignment="1" applyProtection="1">
      <alignment horizontal="center"/>
    </xf>
    <xf numFmtId="164" fontId="12" fillId="0" borderId="54" xfId="3" applyNumberFormat="1" applyFont="1" applyBorder="1" applyAlignment="1" applyProtection="1">
      <alignment horizontal="center"/>
    </xf>
    <xf numFmtId="0" fontId="4" fillId="0" borderId="54" xfId="3" applyFont="1" applyBorder="1" applyProtection="1"/>
    <xf numFmtId="164" fontId="12" fillId="0" borderId="46" xfId="3" applyNumberFormat="1" applyFont="1" applyBorder="1" applyProtection="1"/>
    <xf numFmtId="0" fontId="12" fillId="0" borderId="46" xfId="3" applyFont="1" applyBorder="1" applyProtection="1"/>
    <xf numFmtId="164" fontId="12" fillId="0" borderId="20" xfId="3" applyNumberFormat="1" applyFont="1" applyFill="1" applyBorder="1" applyProtection="1"/>
    <xf numFmtId="164" fontId="12" fillId="0" borderId="54" xfId="4" applyNumberFormat="1" applyFont="1" applyFill="1" applyBorder="1" applyAlignment="1" applyProtection="1">
      <alignment horizontal="center"/>
    </xf>
    <xf numFmtId="164" fontId="12" fillId="0" borderId="54" xfId="3" applyNumberFormat="1" applyFont="1" applyFill="1" applyBorder="1" applyProtection="1"/>
    <xf numFmtId="164" fontId="12" fillId="0" borderId="54" xfId="3" applyNumberFormat="1" applyFont="1" applyBorder="1" applyProtection="1"/>
    <xf numFmtId="5" fontId="12" fillId="0" borderId="54" xfId="3" applyNumberFormat="1" applyFont="1" applyBorder="1" applyProtection="1"/>
    <xf numFmtId="5" fontId="12" fillId="0" borderId="46" xfId="3" applyNumberFormat="1" applyFont="1" applyBorder="1" applyProtection="1"/>
    <xf numFmtId="5" fontId="12" fillId="0" borderId="20" xfId="3" applyNumberFormat="1" applyFont="1" applyBorder="1" applyProtection="1"/>
    <xf numFmtId="0" fontId="12" fillId="0" borderId="54" xfId="3" applyFont="1" applyBorder="1" applyProtection="1"/>
    <xf numFmtId="2" fontId="12" fillId="0" borderId="54" xfId="3" applyNumberFormat="1" applyFont="1" applyBorder="1" applyProtection="1"/>
    <xf numFmtId="0" fontId="4" fillId="0" borderId="46" xfId="3" applyFont="1" applyBorder="1" applyProtection="1"/>
    <xf numFmtId="38" fontId="12" fillId="0" borderId="8" xfId="3" applyNumberFormat="1" applyFont="1" applyBorder="1" applyProtection="1"/>
    <xf numFmtId="3" fontId="12" fillId="0" borderId="10" xfId="3" applyNumberFormat="1" applyFont="1" applyBorder="1" applyAlignment="1" applyProtection="1">
      <alignment horizontal="center"/>
    </xf>
    <xf numFmtId="0" fontId="12" fillId="0" borderId="0" xfId="0" applyFont="1" applyAlignment="1" applyProtection="1">
      <alignment horizontal="center"/>
    </xf>
    <xf numFmtId="0" fontId="11" fillId="0" borderId="0" xfId="0" applyFont="1" applyAlignment="1" applyProtection="1">
      <alignment horizontal="center"/>
    </xf>
    <xf numFmtId="0" fontId="23" fillId="0" borderId="0" xfId="0" applyFont="1" applyBorder="1" applyAlignment="1" applyProtection="1">
      <alignment horizontal="center"/>
    </xf>
    <xf numFmtId="0" fontId="12" fillId="0" borderId="0" xfId="0" applyFont="1" applyAlignment="1" applyProtection="1">
      <alignment vertical="top" wrapText="1"/>
    </xf>
    <xf numFmtId="0" fontId="12" fillId="0" borderId="0" xfId="0" applyFont="1" applyAlignment="1" applyProtection="1">
      <alignment horizontal="left"/>
    </xf>
    <xf numFmtId="0" fontId="12" fillId="0" borderId="0" xfId="0" applyFont="1" applyAlignment="1" applyProtection="1">
      <alignment horizontal="right"/>
    </xf>
    <xf numFmtId="0" fontId="11" fillId="0" borderId="7" xfId="3" applyFont="1" applyBorder="1" applyAlignment="1" applyProtection="1">
      <alignment horizontal="center"/>
    </xf>
    <xf numFmtId="0" fontId="11" fillId="0" borderId="47" xfId="3" applyFont="1" applyBorder="1" applyAlignment="1" applyProtection="1">
      <alignment horizontal="center"/>
    </xf>
    <xf numFmtId="0" fontId="9" fillId="0" borderId="0" xfId="3" applyFont="1" applyAlignment="1" applyProtection="1">
      <alignment horizontal="center"/>
    </xf>
    <xf numFmtId="0" fontId="23" fillId="0" borderId="22" xfId="3" applyFont="1" applyBorder="1" applyAlignment="1" applyProtection="1">
      <alignment horizontal="center"/>
    </xf>
    <xf numFmtId="0" fontId="9" fillId="0" borderId="0" xfId="0" applyFont="1" applyAlignment="1" applyProtection="1">
      <alignment horizontal="center"/>
    </xf>
    <xf numFmtId="0" fontId="11" fillId="0" borderId="4" xfId="3" applyFont="1" applyFill="1" applyBorder="1" applyAlignment="1" applyProtection="1">
      <alignment horizontal="center" vertical="center"/>
    </xf>
    <xf numFmtId="0" fontId="12" fillId="0" borderId="7"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36"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21"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24" xfId="0" applyFont="1" applyBorder="1" applyAlignment="1" applyProtection="1">
      <alignment horizontal="left" vertical="top" wrapText="1"/>
      <protection locked="0"/>
    </xf>
    <xf numFmtId="0" fontId="12" fillId="0" borderId="7" xfId="0" applyFont="1" applyBorder="1" applyAlignment="1" applyProtection="1">
      <alignment vertical="top" wrapText="1"/>
      <protection locked="0"/>
    </xf>
    <xf numFmtId="0" fontId="12" fillId="0" borderId="10" xfId="0" applyFont="1" applyBorder="1" applyAlignment="1" applyProtection="1">
      <alignment vertical="top" wrapText="1"/>
      <protection locked="0"/>
    </xf>
    <xf numFmtId="0" fontId="12" fillId="0" borderId="8" xfId="0" applyFont="1" applyBorder="1" applyAlignment="1" applyProtection="1">
      <alignment vertical="top" wrapText="1"/>
      <protection locked="0"/>
    </xf>
    <xf numFmtId="0" fontId="12" fillId="0" borderId="36" xfId="0" applyFont="1" applyBorder="1" applyAlignment="1" applyProtection="1">
      <alignment vertical="top" wrapText="1"/>
      <protection locked="0"/>
    </xf>
    <xf numFmtId="0" fontId="12" fillId="0" borderId="0" xfId="0" applyFont="1" applyBorder="1" applyAlignment="1" applyProtection="1">
      <alignment vertical="top" wrapText="1"/>
      <protection locked="0"/>
    </xf>
    <xf numFmtId="0" fontId="12" fillId="0" borderId="21" xfId="0" applyFont="1" applyBorder="1" applyAlignment="1" applyProtection="1">
      <alignment vertical="top" wrapText="1"/>
      <protection locked="0"/>
    </xf>
    <xf numFmtId="0" fontId="12" fillId="0" borderId="2" xfId="0" applyFont="1" applyBorder="1" applyAlignment="1" applyProtection="1">
      <alignment vertical="top" wrapText="1"/>
      <protection locked="0"/>
    </xf>
    <xf numFmtId="0" fontId="12" fillId="0" borderId="1" xfId="0" applyFont="1" applyBorder="1" applyAlignment="1" applyProtection="1">
      <alignment vertical="top" wrapText="1"/>
      <protection locked="0"/>
    </xf>
    <xf numFmtId="0" fontId="12" fillId="0" borderId="24" xfId="0" applyFont="1" applyBorder="1" applyAlignment="1" applyProtection="1">
      <alignment vertical="top" wrapText="1"/>
      <protection locked="0"/>
    </xf>
    <xf numFmtId="0" fontId="4" fillId="0" borderId="0" xfId="0" applyFont="1" applyAlignment="1">
      <alignment horizontal="center"/>
    </xf>
    <xf numFmtId="0" fontId="4" fillId="0" borderId="0" xfId="0" applyFont="1" applyFill="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0" fontId="9" fillId="0" borderId="0" xfId="0" applyFont="1" applyAlignment="1">
      <alignment horizontal="center"/>
    </xf>
    <xf numFmtId="0" fontId="3" fillId="0" borderId="5" xfId="0" applyFont="1" applyBorder="1" applyAlignment="1">
      <alignment horizontal="center"/>
    </xf>
    <xf numFmtId="0" fontId="3" fillId="0" borderId="45" xfId="0" applyFont="1" applyBorder="1" applyAlignment="1">
      <alignment horizontal="center"/>
    </xf>
    <xf numFmtId="0" fontId="3" fillId="0" borderId="0" xfId="0" applyFont="1" applyAlignment="1">
      <alignment horizontal="right"/>
    </xf>
    <xf numFmtId="0" fontId="4" fillId="0" borderId="10" xfId="0" applyFont="1" applyFill="1" applyBorder="1" applyAlignment="1">
      <alignment horizontal="center"/>
    </xf>
    <xf numFmtId="0" fontId="4" fillId="0" borderId="1" xfId="0" applyFont="1" applyBorder="1" applyAlignment="1">
      <alignment horizontal="center"/>
    </xf>
    <xf numFmtId="0" fontId="3" fillId="0" borderId="33" xfId="0" applyFont="1" applyBorder="1" applyAlignment="1">
      <alignment horizontal="center"/>
    </xf>
    <xf numFmtId="0" fontId="4" fillId="0" borderId="7"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1" xfId="0" applyFont="1" applyBorder="1" applyAlignment="1" applyProtection="1">
      <alignment horizontal="left"/>
      <protection locked="0"/>
    </xf>
    <xf numFmtId="0" fontId="4" fillId="0" borderId="1" xfId="0" applyFont="1" applyBorder="1" applyAlignment="1" applyProtection="1">
      <alignment horizontal="center"/>
      <protection locked="0"/>
    </xf>
    <xf numFmtId="0" fontId="3" fillId="0" borderId="0" xfId="0" applyFont="1" applyBorder="1" applyAlignment="1">
      <alignment horizontal="center"/>
    </xf>
    <xf numFmtId="0" fontId="11" fillId="0" borderId="0" xfId="3" applyFont="1" applyAlignment="1" applyProtection="1">
      <alignment horizontal="center"/>
    </xf>
    <xf numFmtId="0" fontId="3" fillId="0" borderId="0" xfId="3" applyFont="1" applyAlignment="1" applyProtection="1">
      <alignment horizontal="left"/>
    </xf>
    <xf numFmtId="0" fontId="4" fillId="0" borderId="1" xfId="3" applyFont="1" applyBorder="1" applyAlignment="1" applyProtection="1">
      <alignment horizontal="center"/>
    </xf>
    <xf numFmtId="0" fontId="3" fillId="0" borderId="6" xfId="3" applyFont="1" applyBorder="1" applyAlignment="1" applyProtection="1">
      <alignment horizontal="center" vertical="center" wrapText="1"/>
    </xf>
    <xf numFmtId="0" fontId="3" fillId="0" borderId="48" xfId="3" applyFont="1" applyBorder="1" applyAlignment="1" applyProtection="1">
      <alignment horizontal="center" vertical="center" wrapText="1"/>
    </xf>
    <xf numFmtId="0" fontId="8" fillId="0" borderId="48" xfId="0" applyFont="1" applyBorder="1" applyAlignment="1"/>
    <xf numFmtId="0" fontId="8" fillId="0" borderId="3" xfId="0" applyFont="1" applyBorder="1" applyAlignment="1"/>
    <xf numFmtId="0" fontId="4" fillId="0" borderId="4" xfId="3" applyFont="1" applyBorder="1" applyAlignment="1" applyProtection="1"/>
    <xf numFmtId="0" fontId="4" fillId="0" borderId="45" xfId="3" applyFont="1" applyBorder="1" applyAlignment="1" applyProtection="1"/>
    <xf numFmtId="0" fontId="4" fillId="0" borderId="5" xfId="3" applyFont="1" applyBorder="1" applyAlignment="1" applyProtection="1"/>
    <xf numFmtId="0" fontId="3" fillId="0" borderId="4" xfId="3" applyFont="1" applyBorder="1" applyAlignment="1" applyProtection="1"/>
    <xf numFmtId="0" fontId="3" fillId="0" borderId="5" xfId="3" applyFont="1" applyBorder="1" applyAlignment="1" applyProtection="1"/>
    <xf numFmtId="0" fontId="3" fillId="0" borderId="4" xfId="3" applyFont="1" applyBorder="1" applyAlignment="1" applyProtection="1">
      <alignment horizontal="center" vertical="center" wrapText="1"/>
    </xf>
    <xf numFmtId="0" fontId="4" fillId="0" borderId="3" xfId="3" applyFont="1" applyBorder="1" applyAlignment="1" applyProtection="1"/>
    <xf numFmtId="0" fontId="4" fillId="0" borderId="0" xfId="3" applyFont="1" applyAlignment="1" applyProtection="1"/>
    <xf numFmtId="0" fontId="4" fillId="0" borderId="4" xfId="3" applyFont="1" applyBorder="1" applyAlignment="1" applyProtection="1">
      <alignment wrapText="1"/>
    </xf>
    <xf numFmtId="0" fontId="4" fillId="0" borderId="5" xfId="3" applyFont="1" applyBorder="1" applyAlignment="1" applyProtection="1">
      <alignment horizontal="left"/>
    </xf>
    <xf numFmtId="0" fontId="4" fillId="0" borderId="33" xfId="3" applyFont="1" applyBorder="1" applyAlignment="1" applyProtection="1">
      <alignment horizontal="left"/>
    </xf>
    <xf numFmtId="0" fontId="4" fillId="0" borderId="24" xfId="3" applyFont="1" applyFill="1" applyBorder="1" applyAlignment="1" applyProtection="1">
      <protection locked="0"/>
    </xf>
    <xf numFmtId="0" fontId="4" fillId="0" borderId="3" xfId="3" applyFont="1" applyFill="1" applyBorder="1" applyAlignment="1" applyProtection="1">
      <protection locked="0"/>
    </xf>
    <xf numFmtId="0" fontId="4" fillId="0" borderId="33" xfId="3" applyFont="1" applyBorder="1" applyAlignment="1" applyProtection="1"/>
    <xf numFmtId="0" fontId="4" fillId="0" borderId="4" xfId="3" applyFont="1" applyFill="1" applyBorder="1" applyAlignment="1" applyProtection="1">
      <protection locked="0"/>
    </xf>
    <xf numFmtId="0" fontId="4" fillId="0" borderId="4" xfId="3" applyFont="1" applyBorder="1" applyAlignment="1" applyProtection="1">
      <protection locked="0"/>
    </xf>
    <xf numFmtId="0" fontId="3" fillId="0" borderId="5" xfId="3" applyFont="1" applyBorder="1" applyAlignment="1" applyProtection="1">
      <alignment horizontal="left"/>
    </xf>
    <xf numFmtId="0" fontId="3" fillId="0" borderId="33" xfId="3" applyFont="1" applyBorder="1" applyAlignment="1" applyProtection="1">
      <alignment horizontal="left"/>
    </xf>
    <xf numFmtId="0" fontId="21" fillId="0" borderId="0" xfId="3" applyFont="1" applyFill="1" applyAlignment="1" applyProtection="1">
      <alignment horizontal="left" wrapText="1"/>
    </xf>
    <xf numFmtId="0" fontId="4" fillId="0" borderId="40" xfId="3" applyFont="1" applyBorder="1" applyAlignment="1" applyProtection="1">
      <alignment horizontal="center"/>
    </xf>
    <xf numFmtId="0" fontId="4" fillId="0" borderId="35" xfId="3" applyFont="1" applyBorder="1" applyAlignment="1" applyProtection="1">
      <alignment horizontal="center"/>
    </xf>
    <xf numFmtId="0" fontId="12" fillId="0" borderId="1" xfId="3" applyFont="1" applyFill="1" applyBorder="1" applyAlignment="1" applyProtection="1">
      <alignment horizontal="center"/>
    </xf>
    <xf numFmtId="0" fontId="4" fillId="0" borderId="30" xfId="3" applyFont="1" applyBorder="1" applyAlignment="1" applyProtection="1">
      <alignment horizontal="center"/>
    </xf>
    <xf numFmtId="0" fontId="4" fillId="0" borderId="29" xfId="3" applyFont="1" applyBorder="1" applyAlignment="1" applyProtection="1">
      <alignment horizontal="center"/>
    </xf>
    <xf numFmtId="37" fontId="4" fillId="0" borderId="31" xfId="3" applyNumberFormat="1" applyFont="1" applyBorder="1" applyAlignment="1" applyProtection="1">
      <alignment horizontal="center"/>
    </xf>
    <xf numFmtId="37" fontId="4" fillId="0" borderId="49" xfId="3" applyNumberFormat="1" applyFont="1" applyBorder="1" applyAlignment="1" applyProtection="1">
      <alignment horizontal="center"/>
    </xf>
    <xf numFmtId="10" fontId="4" fillId="0" borderId="31" xfId="3" applyNumberFormat="1" applyFont="1" applyBorder="1" applyAlignment="1" applyProtection="1">
      <alignment horizontal="center"/>
    </xf>
    <xf numFmtId="10" fontId="4" fillId="0" borderId="49" xfId="3" applyNumberFormat="1" applyFont="1" applyBorder="1" applyAlignment="1" applyProtection="1">
      <alignment horizontal="center"/>
    </xf>
    <xf numFmtId="0" fontId="23" fillId="0" borderId="22" xfId="3" quotePrefix="1" applyFont="1" applyBorder="1" applyAlignment="1" applyProtection="1">
      <alignment horizontal="right"/>
    </xf>
    <xf numFmtId="0" fontId="5" fillId="0" borderId="0" xfId="0" applyFont="1" applyAlignment="1">
      <alignment horizontal="center"/>
    </xf>
    <xf numFmtId="0" fontId="23" fillId="0" borderId="33" xfId="0" applyFont="1" applyBorder="1" applyAlignment="1" applyProtection="1">
      <alignment horizontal="center"/>
      <protection locked="0"/>
    </xf>
    <xf numFmtId="0" fontId="14" fillId="0" borderId="10" xfId="0" applyFont="1" applyBorder="1" applyAlignment="1">
      <alignment horizontal="center"/>
    </xf>
    <xf numFmtId="0" fontId="23" fillId="0" borderId="0" xfId="0" applyFont="1" applyAlignment="1">
      <alignment horizontal="right"/>
    </xf>
    <xf numFmtId="172" fontId="23" fillId="0" borderId="1" xfId="0" applyNumberFormat="1" applyFont="1" applyBorder="1" applyAlignment="1" applyProtection="1">
      <alignment horizontal="center"/>
      <protection locked="0"/>
    </xf>
    <xf numFmtId="0" fontId="23" fillId="0" borderId="0" xfId="0" applyFont="1" applyAlignment="1">
      <alignment horizontal="center"/>
    </xf>
    <xf numFmtId="0" fontId="23" fillId="0" borderId="1" xfId="0" applyFont="1" applyBorder="1" applyAlignment="1" applyProtection="1">
      <alignment horizontal="center"/>
      <protection locked="0"/>
    </xf>
    <xf numFmtId="0" fontId="23" fillId="0" borderId="1" xfId="0" applyFont="1" applyBorder="1" applyAlignment="1">
      <alignment horizontal="center"/>
    </xf>
    <xf numFmtId="0" fontId="23" fillId="0" borderId="0" xfId="0" applyFont="1" applyAlignment="1">
      <alignment horizontal="left"/>
    </xf>
    <xf numFmtId="0" fontId="23" fillId="0" borderId="0" xfId="0" applyFont="1" applyBorder="1" applyAlignment="1">
      <alignment horizontal="center"/>
    </xf>
    <xf numFmtId="0" fontId="23" fillId="0" borderId="33" xfId="0" applyFont="1" applyBorder="1" applyAlignment="1">
      <alignment horizontal="center"/>
    </xf>
    <xf numFmtId="173" fontId="27" fillId="0" borderId="1" xfId="0" applyNumberFormat="1" applyFont="1" applyBorder="1" applyAlignment="1" applyProtection="1">
      <alignment horizontal="center"/>
      <protection locked="0"/>
    </xf>
    <xf numFmtId="173" fontId="23" fillId="0" borderId="1" xfId="0" applyNumberFormat="1" applyFont="1" applyBorder="1" applyAlignment="1" applyProtection="1">
      <alignment horizontal="center"/>
      <protection locked="0"/>
    </xf>
  </cellXfs>
  <cellStyles count="5">
    <cellStyle name="Comma" xfId="1" builtinId="3"/>
    <cellStyle name="Hyperlink" xfId="2" builtinId="8"/>
    <cellStyle name="Normal" xfId="0" builtinId="0"/>
    <cellStyle name="Normal_12AB" xfId="3"/>
    <cellStyle name="Percent" xfId="4" builtinId="5"/>
  </cellStyles>
  <dxfs count="55">
    <dxf>
      <font>
        <color theme="0"/>
      </font>
      <fill>
        <patternFill>
          <bgColor rgb="FFFF0000"/>
        </patternFill>
      </fill>
    </dxf>
    <dxf>
      <font>
        <color theme="0"/>
      </font>
      <fill>
        <patternFill>
          <bgColor rgb="FFFF0000"/>
        </patternFill>
      </fill>
    </dxf>
    <dxf>
      <font>
        <color theme="0"/>
      </font>
      <fill>
        <patternFill>
          <bgColor rgb="FFFF0000"/>
        </patternFill>
      </fill>
    </dxf>
    <dxf>
      <font>
        <condense val="0"/>
        <extend val="0"/>
        <color indexed="9"/>
      </font>
      <fill>
        <patternFill>
          <bgColor indexed="10"/>
        </patternFill>
      </fill>
    </dxf>
    <dxf>
      <font>
        <condense val="0"/>
        <extend val="0"/>
        <color indexed="9"/>
      </font>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10"/>
      </font>
      <fill>
        <patternFill patternType="none">
          <bgColor indexed="65"/>
        </patternFill>
      </fill>
    </dxf>
    <dxf>
      <font>
        <color theme="0"/>
      </font>
      <fill>
        <patternFill>
          <bgColor rgb="FFFF0000"/>
        </patternFill>
      </fill>
    </dxf>
    <dxf>
      <font>
        <color theme="0"/>
      </font>
      <fill>
        <patternFill>
          <bgColor rgb="FFFF0000"/>
        </patternFill>
      </fill>
    </dxf>
    <dxf>
      <font>
        <condense val="0"/>
        <extend val="0"/>
        <color indexed="9"/>
      </font>
      <fill>
        <patternFill>
          <bgColor indexed="10"/>
        </patternFill>
      </fill>
    </dxf>
    <dxf>
      <font>
        <color theme="0"/>
      </font>
      <fill>
        <patternFill>
          <bgColor rgb="FFFF0000"/>
        </patternFill>
      </fill>
    </dxf>
    <dxf>
      <font>
        <color theme="0"/>
      </font>
      <fill>
        <patternFill>
          <bgColor rgb="FFFF000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ill>
        <patternFill>
          <bgColor indexed="10"/>
        </patternFill>
      </fill>
    </dxf>
    <dxf>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laustin@nchfa.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B2:L54"/>
  <sheetViews>
    <sheetView showGridLines="0" showRowColHeaders="0" workbookViewId="0">
      <selection activeCell="C36" sqref="C36"/>
    </sheetView>
  </sheetViews>
  <sheetFormatPr defaultRowHeight="15.75" x14ac:dyDescent="0.25"/>
  <cols>
    <col min="1" max="1" width="5.5703125" style="209" customWidth="1"/>
    <col min="2" max="2" width="10.7109375" style="209" bestFit="1" customWidth="1"/>
    <col min="3" max="4" width="9.140625" style="209"/>
    <col min="5" max="5" width="2.7109375" style="209" customWidth="1"/>
    <col min="6" max="6" width="10.42578125" style="209" customWidth="1"/>
    <col min="7" max="7" width="6.140625" style="209" customWidth="1"/>
    <col min="8" max="8" width="5.140625" style="209" customWidth="1"/>
    <col min="9" max="10" width="11.42578125" style="209" customWidth="1"/>
    <col min="11" max="11" width="14.5703125" style="209" customWidth="1"/>
    <col min="12" max="12" width="7.85546875" style="209" customWidth="1"/>
    <col min="13" max="16384" width="9.140625" style="209"/>
  </cols>
  <sheetData>
    <row r="2" spans="2:11" x14ac:dyDescent="0.25">
      <c r="B2" s="391" t="s">
        <v>401</v>
      </c>
      <c r="C2" s="391"/>
      <c r="D2" s="391"/>
      <c r="E2" s="391"/>
      <c r="F2" s="391"/>
      <c r="G2" s="391"/>
      <c r="H2" s="391"/>
      <c r="I2" s="391"/>
      <c r="J2" s="391"/>
      <c r="K2" s="391"/>
    </row>
    <row r="3" spans="2:11" ht="7.5" customHeight="1" x14ac:dyDescent="0.25">
      <c r="B3" s="276"/>
      <c r="C3" s="276"/>
      <c r="D3" s="276"/>
      <c r="E3" s="276"/>
      <c r="F3" s="276"/>
      <c r="G3" s="276"/>
      <c r="H3" s="276"/>
      <c r="I3" s="276"/>
      <c r="J3" s="276"/>
      <c r="K3" s="276"/>
    </row>
    <row r="4" spans="2:11" ht="15.75" customHeight="1" x14ac:dyDescent="0.25">
      <c r="B4" s="393" t="s">
        <v>518</v>
      </c>
      <c r="C4" s="393"/>
      <c r="D4" s="393"/>
      <c r="E4" s="393"/>
      <c r="F4" s="393"/>
      <c r="G4" s="393"/>
      <c r="H4" s="393"/>
      <c r="I4" s="393"/>
      <c r="J4" s="393"/>
      <c r="K4" s="393"/>
    </row>
    <row r="5" spans="2:11" x14ac:dyDescent="0.25">
      <c r="B5" s="393"/>
      <c r="C5" s="393"/>
      <c r="D5" s="393"/>
      <c r="E5" s="393"/>
      <c r="F5" s="393"/>
      <c r="G5" s="393"/>
      <c r="H5" s="393"/>
      <c r="I5" s="393"/>
      <c r="J5" s="393"/>
      <c r="K5" s="393"/>
    </row>
    <row r="6" spans="2:11" x14ac:dyDescent="0.25">
      <c r="B6" s="393"/>
      <c r="C6" s="393"/>
      <c r="D6" s="393"/>
      <c r="E6" s="393"/>
      <c r="F6" s="393"/>
      <c r="G6" s="393"/>
      <c r="H6" s="393"/>
      <c r="I6" s="393"/>
      <c r="J6" s="393"/>
      <c r="K6" s="393"/>
    </row>
    <row r="7" spans="2:11" x14ac:dyDescent="0.25">
      <c r="B7" s="393"/>
      <c r="C7" s="393"/>
      <c r="D7" s="393"/>
      <c r="E7" s="393"/>
      <c r="F7" s="393"/>
      <c r="G7" s="393"/>
      <c r="H7" s="393"/>
      <c r="I7" s="393"/>
      <c r="J7" s="393"/>
      <c r="K7" s="393"/>
    </row>
    <row r="8" spans="2:11" ht="15.75" customHeight="1" x14ac:dyDescent="0.25">
      <c r="B8" s="393"/>
      <c r="C8" s="393"/>
      <c r="D8" s="393"/>
      <c r="E8" s="393"/>
      <c r="F8" s="393"/>
      <c r="G8" s="393"/>
      <c r="H8" s="393"/>
      <c r="I8" s="393"/>
      <c r="J8" s="393"/>
      <c r="K8" s="393"/>
    </row>
    <row r="9" spans="2:11" ht="15.75" customHeight="1" x14ac:dyDescent="0.25">
      <c r="B9" s="393"/>
      <c r="C9" s="393"/>
      <c r="D9" s="393"/>
      <c r="E9" s="393"/>
      <c r="F9" s="393"/>
      <c r="G9" s="393"/>
      <c r="H9" s="393"/>
      <c r="I9" s="393"/>
      <c r="J9" s="393"/>
      <c r="K9" s="393"/>
    </row>
    <row r="10" spans="2:11" ht="7.5" customHeight="1" x14ac:dyDescent="0.25">
      <c r="B10" s="275"/>
      <c r="C10" s="275"/>
      <c r="D10" s="275"/>
      <c r="E10" s="275"/>
      <c r="F10" s="275"/>
      <c r="G10" s="275"/>
      <c r="H10" s="275"/>
      <c r="I10" s="275"/>
      <c r="J10" s="275"/>
      <c r="K10" s="275"/>
    </row>
    <row r="11" spans="2:11" ht="15.75" customHeight="1" x14ac:dyDescent="0.25">
      <c r="B11" s="393" t="s">
        <v>423</v>
      </c>
      <c r="C11" s="393"/>
      <c r="D11" s="393"/>
      <c r="E11" s="393"/>
      <c r="F11" s="393"/>
      <c r="G11" s="393"/>
      <c r="H11" s="393"/>
      <c r="I11" s="393"/>
      <c r="J11" s="393"/>
      <c r="K11" s="393"/>
    </row>
    <row r="12" spans="2:11" x14ac:dyDescent="0.25">
      <c r="B12" s="393"/>
      <c r="C12" s="393"/>
      <c r="D12" s="393"/>
      <c r="E12" s="393"/>
      <c r="F12" s="393"/>
      <c r="G12" s="393"/>
      <c r="H12" s="393"/>
      <c r="I12" s="393"/>
      <c r="J12" s="393"/>
      <c r="K12" s="393"/>
    </row>
    <row r="13" spans="2:11" x14ac:dyDescent="0.25">
      <c r="B13" s="393"/>
      <c r="C13" s="393"/>
      <c r="D13" s="393"/>
      <c r="E13" s="393"/>
      <c r="F13" s="393"/>
      <c r="G13" s="393"/>
      <c r="H13" s="393"/>
      <c r="I13" s="393"/>
      <c r="J13" s="393"/>
      <c r="K13" s="393"/>
    </row>
    <row r="14" spans="2:11" x14ac:dyDescent="0.25">
      <c r="B14" s="393"/>
      <c r="C14" s="393"/>
      <c r="D14" s="393"/>
      <c r="E14" s="393"/>
      <c r="F14" s="393"/>
      <c r="G14" s="393"/>
      <c r="H14" s="393"/>
      <c r="I14" s="393"/>
      <c r="J14" s="393"/>
      <c r="K14" s="393"/>
    </row>
    <row r="15" spans="2:11" x14ac:dyDescent="0.25">
      <c r="B15" s="393"/>
      <c r="C15" s="393"/>
      <c r="D15" s="393"/>
      <c r="E15" s="393"/>
      <c r="F15" s="393"/>
      <c r="G15" s="393"/>
      <c r="H15" s="393"/>
      <c r="I15" s="393"/>
      <c r="J15" s="393"/>
      <c r="K15" s="393"/>
    </row>
    <row r="16" spans="2:11" ht="15.75" customHeight="1" x14ac:dyDescent="0.25">
      <c r="B16" s="393"/>
      <c r="C16" s="393"/>
      <c r="D16" s="393"/>
      <c r="E16" s="393"/>
      <c r="F16" s="393"/>
      <c r="G16" s="393"/>
      <c r="H16" s="393"/>
      <c r="I16" s="393"/>
      <c r="J16" s="393"/>
      <c r="K16" s="393"/>
    </row>
    <row r="17" spans="2:12" ht="15.75" customHeight="1" x14ac:dyDescent="0.25">
      <c r="B17" s="393"/>
      <c r="C17" s="393"/>
      <c r="D17" s="393"/>
      <c r="E17" s="393"/>
      <c r="F17" s="393"/>
      <c r="G17" s="393"/>
      <c r="H17" s="393"/>
      <c r="I17" s="393"/>
      <c r="J17" s="393"/>
      <c r="K17" s="393"/>
    </row>
    <row r="18" spans="2:12" ht="7.5" customHeight="1" x14ac:dyDescent="0.25">
      <c r="B18" s="275"/>
      <c r="C18" s="275"/>
      <c r="D18" s="275"/>
      <c r="E18" s="275"/>
      <c r="F18" s="275"/>
      <c r="G18" s="275"/>
      <c r="H18" s="275"/>
      <c r="I18" s="275"/>
      <c r="J18" s="275"/>
      <c r="K18" s="275"/>
    </row>
    <row r="19" spans="2:12" x14ac:dyDescent="0.25">
      <c r="B19" s="277" t="s">
        <v>398</v>
      </c>
      <c r="C19" s="275"/>
      <c r="D19" s="275"/>
      <c r="E19" s="275"/>
      <c r="F19" s="275"/>
      <c r="G19" s="275"/>
      <c r="H19" s="275"/>
      <c r="I19" s="275"/>
      <c r="J19" s="275"/>
      <c r="K19" s="275"/>
    </row>
    <row r="20" spans="2:12" x14ac:dyDescent="0.25">
      <c r="B20" s="277" t="s">
        <v>399</v>
      </c>
      <c r="C20" s="277"/>
      <c r="D20" s="277"/>
      <c r="E20" s="277"/>
      <c r="F20" s="309" t="s">
        <v>400</v>
      </c>
      <c r="G20" s="277"/>
      <c r="H20" s="277"/>
      <c r="I20" s="277"/>
      <c r="J20" s="277"/>
      <c r="K20" s="277"/>
    </row>
    <row r="21" spans="2:12" ht="12" customHeight="1" x14ac:dyDescent="0.25">
      <c r="B21" s="277"/>
      <c r="C21" s="277"/>
      <c r="D21" s="277"/>
      <c r="E21" s="277"/>
      <c r="F21" s="278"/>
      <c r="G21" s="277"/>
      <c r="H21" s="277"/>
      <c r="I21" s="277"/>
      <c r="J21" s="277"/>
      <c r="K21" s="277"/>
    </row>
    <row r="22" spans="2:12" ht="12" customHeight="1" x14ac:dyDescent="0.25">
      <c r="B22" s="277"/>
      <c r="C22" s="277"/>
      <c r="D22" s="277"/>
      <c r="E22" s="277"/>
      <c r="F22" s="278"/>
      <c r="G22" s="277"/>
      <c r="H22" s="277"/>
      <c r="I22" s="277"/>
      <c r="J22" s="277"/>
      <c r="K22" s="277"/>
    </row>
    <row r="23" spans="2:12" x14ac:dyDescent="0.25">
      <c r="B23" s="393" t="s">
        <v>475</v>
      </c>
      <c r="C23" s="393"/>
      <c r="D23" s="393"/>
      <c r="E23" s="393"/>
      <c r="F23" s="393"/>
      <c r="G23" s="393"/>
      <c r="H23" s="393"/>
      <c r="I23" s="393"/>
      <c r="J23" s="393"/>
      <c r="K23" s="393"/>
      <c r="L23" s="393"/>
    </row>
    <row r="24" spans="2:12" ht="15.75" customHeight="1" x14ac:dyDescent="0.25">
      <c r="B24" s="393"/>
      <c r="C24" s="393"/>
      <c r="D24" s="393"/>
      <c r="E24" s="393"/>
      <c r="F24" s="393"/>
      <c r="G24" s="393"/>
      <c r="H24" s="393"/>
      <c r="I24" s="393"/>
      <c r="J24" s="393"/>
      <c r="K24" s="393"/>
      <c r="L24" s="393"/>
    </row>
    <row r="25" spans="2:12" ht="7.5" customHeight="1" x14ac:dyDescent="0.25">
      <c r="B25" s="275"/>
      <c r="C25" s="275"/>
      <c r="D25" s="275"/>
      <c r="E25" s="275"/>
      <c r="F25" s="275"/>
      <c r="G25" s="275"/>
      <c r="H25" s="275"/>
      <c r="I25" s="275"/>
      <c r="J25" s="275"/>
      <c r="K25" s="275"/>
      <c r="L25" s="275"/>
    </row>
    <row r="26" spans="2:12" x14ac:dyDescent="0.25">
      <c r="B26" s="209" t="s">
        <v>429</v>
      </c>
    </row>
    <row r="27" spans="2:12" x14ac:dyDescent="0.25">
      <c r="B27" s="209" t="s">
        <v>469</v>
      </c>
    </row>
    <row r="28" spans="2:12" x14ac:dyDescent="0.25">
      <c r="B28" s="209" t="s">
        <v>419</v>
      </c>
    </row>
    <row r="29" spans="2:12" x14ac:dyDescent="0.25">
      <c r="B29" s="209" t="s">
        <v>420</v>
      </c>
    </row>
    <row r="30" spans="2:12" x14ac:dyDescent="0.25">
      <c r="B30" s="209" t="s">
        <v>427</v>
      </c>
    </row>
    <row r="31" spans="2:12" x14ac:dyDescent="0.25">
      <c r="E31" s="209" t="s">
        <v>426</v>
      </c>
    </row>
    <row r="32" spans="2:12" x14ac:dyDescent="0.25">
      <c r="B32" s="296" t="s">
        <v>488</v>
      </c>
      <c r="C32" s="296"/>
      <c r="D32" s="296"/>
      <c r="E32" s="296"/>
      <c r="F32" s="296"/>
      <c r="G32" s="296"/>
      <c r="H32" s="296"/>
      <c r="I32" s="296"/>
      <c r="J32" s="296"/>
      <c r="K32" s="296"/>
    </row>
    <row r="33" spans="2:11" x14ac:dyDescent="0.25">
      <c r="B33" s="209" t="s">
        <v>421</v>
      </c>
    </row>
    <row r="34" spans="2:11" x14ac:dyDescent="0.25">
      <c r="B34" s="209" t="s">
        <v>468</v>
      </c>
    </row>
    <row r="35" spans="2:11" x14ac:dyDescent="0.25">
      <c r="B35" s="209" t="s">
        <v>422</v>
      </c>
    </row>
    <row r="36" spans="2:11" x14ac:dyDescent="0.25">
      <c r="B36" s="209" t="s">
        <v>430</v>
      </c>
    </row>
    <row r="37" spans="2:11" x14ac:dyDescent="0.25">
      <c r="B37" s="209" t="s">
        <v>474</v>
      </c>
    </row>
    <row r="38" spans="2:11" x14ac:dyDescent="0.25">
      <c r="C38" s="209" t="s">
        <v>528</v>
      </c>
    </row>
    <row r="39" spans="2:11" x14ac:dyDescent="0.25">
      <c r="C39" s="209" t="s">
        <v>477</v>
      </c>
    </row>
    <row r="40" spans="2:11" x14ac:dyDescent="0.25">
      <c r="B40" s="209" t="s">
        <v>527</v>
      </c>
      <c r="G40" s="286"/>
      <c r="H40" s="286"/>
      <c r="I40" s="286"/>
      <c r="J40" s="286"/>
    </row>
    <row r="41" spans="2:11" x14ac:dyDescent="0.25">
      <c r="B41" s="209" t="s">
        <v>526</v>
      </c>
      <c r="G41" s="286"/>
      <c r="H41" s="286"/>
      <c r="I41" s="286"/>
      <c r="J41" s="286"/>
    </row>
    <row r="42" spans="2:11" ht="12" customHeight="1" x14ac:dyDescent="0.25">
      <c r="G42" s="392"/>
      <c r="H42" s="392"/>
    </row>
    <row r="43" spans="2:11" ht="12" customHeight="1" x14ac:dyDescent="0.25"/>
    <row r="44" spans="2:11" x14ac:dyDescent="0.25">
      <c r="B44" s="277" t="s">
        <v>392</v>
      </c>
      <c r="F44" s="395" t="str">
        <f>IF(H44="","","Project Name:  ")</f>
        <v/>
      </c>
      <c r="G44" s="395"/>
      <c r="H44" s="283" t="str">
        <f>IF(Costs!B6="","",Costs!B6)</f>
        <v/>
      </c>
      <c r="I44" s="283"/>
      <c r="J44" s="283"/>
      <c r="K44" s="283"/>
    </row>
    <row r="45" spans="2:11" x14ac:dyDescent="0.25">
      <c r="B45" s="277" t="s">
        <v>393</v>
      </c>
    </row>
    <row r="46" spans="2:11" x14ac:dyDescent="0.25">
      <c r="B46" s="277" t="s">
        <v>396</v>
      </c>
      <c r="F46" s="395" t="str">
        <f>IF(H46="","","Project #:  ")</f>
        <v/>
      </c>
      <c r="G46" s="395"/>
      <c r="H46" s="394" t="str">
        <f>IF(Costs!F6="","",Costs!F6)</f>
        <v/>
      </c>
      <c r="I46" s="394"/>
    </row>
    <row r="47" spans="2:11" x14ac:dyDescent="0.25">
      <c r="B47" s="277" t="s">
        <v>394</v>
      </c>
    </row>
    <row r="48" spans="2:11" x14ac:dyDescent="0.25">
      <c r="B48" s="277" t="s">
        <v>395</v>
      </c>
      <c r="F48" s="390" t="s">
        <v>476</v>
      </c>
      <c r="G48" s="390"/>
      <c r="H48" s="390"/>
      <c r="I48" s="288"/>
    </row>
    <row r="49" spans="2:2" x14ac:dyDescent="0.25">
      <c r="B49" s="281"/>
    </row>
    <row r="50" spans="2:2" x14ac:dyDescent="0.25">
      <c r="B50" s="279" t="s">
        <v>402</v>
      </c>
    </row>
    <row r="51" spans="2:2" x14ac:dyDescent="0.25">
      <c r="B51" s="280">
        <v>38789</v>
      </c>
    </row>
    <row r="53" spans="2:2" x14ac:dyDescent="0.25">
      <c r="B53" s="281"/>
    </row>
    <row r="54" spans="2:2" x14ac:dyDescent="0.25">
      <c r="B54" s="281"/>
    </row>
  </sheetData>
  <sheetProtection password="D28F" sheet="1" objects="1" scenarios="1" selectLockedCells="1"/>
  <mergeCells count="9">
    <mergeCell ref="F48:H48"/>
    <mergeCell ref="B2:K2"/>
    <mergeCell ref="G42:H42"/>
    <mergeCell ref="B4:K9"/>
    <mergeCell ref="B11:K17"/>
    <mergeCell ref="H46:I46"/>
    <mergeCell ref="F44:G44"/>
    <mergeCell ref="F46:G46"/>
    <mergeCell ref="B23:L24"/>
  </mergeCells>
  <phoneticPr fontId="2" type="noConversion"/>
  <hyperlinks>
    <hyperlink ref="F20" r:id="rId1"/>
  </hyperlinks>
  <pageMargins left="0.5" right="0.25" top="1" bottom="0.75" header="0.5" footer="0.5"/>
  <pageSetup scale="99"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fitToPage="1"/>
  </sheetPr>
  <dimension ref="A1:M52"/>
  <sheetViews>
    <sheetView showGridLines="0" showRowColHeaders="0" workbookViewId="0">
      <selection activeCell="B9" sqref="B9:D9"/>
    </sheetView>
  </sheetViews>
  <sheetFormatPr defaultRowHeight="15" x14ac:dyDescent="0.25"/>
  <cols>
    <col min="1" max="1" width="4.7109375" style="254" customWidth="1"/>
    <col min="2" max="2" width="11.140625" style="254" customWidth="1"/>
    <col min="3" max="3" width="5.140625" style="254" customWidth="1"/>
    <col min="4" max="4" width="13.7109375" style="254" customWidth="1"/>
    <col min="5" max="5" width="11.140625" style="254" customWidth="1"/>
    <col min="6" max="7" width="9.140625" style="254"/>
    <col min="8" max="8" width="2.140625" style="254" customWidth="1"/>
    <col min="9" max="9" width="9" style="254" customWidth="1"/>
    <col min="10" max="10" width="8.42578125" style="254" customWidth="1"/>
    <col min="11" max="11" width="7.5703125" style="254" customWidth="1"/>
    <col min="12" max="12" width="9.5703125" style="254" customWidth="1"/>
    <col min="13" max="13" width="2.7109375" style="254" customWidth="1"/>
    <col min="14" max="16384" width="9.140625" style="254"/>
  </cols>
  <sheetData>
    <row r="1" spans="1:13" ht="15" customHeight="1" x14ac:dyDescent="0.25"/>
    <row r="2" spans="1:13" ht="18.75" x14ac:dyDescent="0.3">
      <c r="B2" s="424" t="s">
        <v>405</v>
      </c>
      <c r="C2" s="424"/>
      <c r="D2" s="424"/>
      <c r="E2" s="424"/>
      <c r="F2" s="424"/>
      <c r="G2" s="424"/>
      <c r="H2" s="424"/>
      <c r="I2" s="424"/>
      <c r="J2" s="424"/>
      <c r="K2" s="424"/>
      <c r="L2" s="424"/>
      <c r="M2" s="424"/>
    </row>
    <row r="3" spans="1:13" x14ac:dyDescent="0.25">
      <c r="A3" s="285"/>
    </row>
    <row r="4" spans="1:13" x14ac:dyDescent="0.25">
      <c r="A4" s="285"/>
      <c r="B4" s="282" t="s">
        <v>0</v>
      </c>
      <c r="D4" s="486" t="str">
        <f>IF(Costs!B6="","",Costs!B6)</f>
        <v/>
      </c>
      <c r="E4" s="486"/>
      <c r="F4" s="486"/>
      <c r="G4" s="486"/>
      <c r="H4" s="254" t="s">
        <v>346</v>
      </c>
      <c r="J4" s="482" t="s">
        <v>37</v>
      </c>
      <c r="K4" s="482"/>
      <c r="L4" s="256" t="str">
        <f>IF(Costs!F6="","",Costs!F6)</f>
        <v/>
      </c>
    </row>
    <row r="5" spans="1:13" x14ac:dyDescent="0.25">
      <c r="A5" s="285"/>
    </row>
    <row r="6" spans="1:13" x14ac:dyDescent="0.25">
      <c r="A6" s="285"/>
      <c r="B6" s="254" t="s">
        <v>347</v>
      </c>
      <c r="E6" s="486" t="str">
        <f>IF('Owner Cert'!F6="","",'Owner Cert'!F6)</f>
        <v/>
      </c>
      <c r="F6" s="486"/>
      <c r="G6" s="486"/>
      <c r="H6" s="486"/>
      <c r="I6" s="486"/>
      <c r="J6" s="254" t="s">
        <v>348</v>
      </c>
    </row>
    <row r="7" spans="1:13" x14ac:dyDescent="0.25">
      <c r="A7" s="285"/>
    </row>
    <row r="8" spans="1:13" x14ac:dyDescent="0.25">
      <c r="A8" s="285"/>
      <c r="B8" s="254" t="s">
        <v>406</v>
      </c>
    </row>
    <row r="9" spans="1:13" x14ac:dyDescent="0.25">
      <c r="A9" s="285"/>
      <c r="B9" s="491"/>
      <c r="C9" s="491"/>
      <c r="D9" s="491"/>
      <c r="E9" s="262" t="s">
        <v>416</v>
      </c>
    </row>
    <row r="10" spans="1:13" x14ac:dyDescent="0.25">
      <c r="A10" s="285"/>
      <c r="B10" s="254" t="s">
        <v>493</v>
      </c>
    </row>
    <row r="11" spans="1:13" x14ac:dyDescent="0.25">
      <c r="A11" s="285"/>
      <c r="B11" s="254" t="s">
        <v>494</v>
      </c>
    </row>
    <row r="12" spans="1:13" x14ac:dyDescent="0.25">
      <c r="A12" s="285"/>
      <c r="B12" s="254" t="s">
        <v>510</v>
      </c>
    </row>
    <row r="13" spans="1:13" x14ac:dyDescent="0.25">
      <c r="A13" s="285"/>
      <c r="B13" s="254" t="s">
        <v>495</v>
      </c>
    </row>
    <row r="14" spans="1:13" ht="7.5" customHeight="1" x14ac:dyDescent="0.25">
      <c r="A14" s="285"/>
    </row>
    <row r="15" spans="1:13" ht="15" customHeight="1" x14ac:dyDescent="0.25">
      <c r="A15" s="285"/>
      <c r="B15" s="350" t="s">
        <v>511</v>
      </c>
    </row>
    <row r="16" spans="1:13" x14ac:dyDescent="0.25">
      <c r="A16" s="285"/>
      <c r="B16" s="254" t="s">
        <v>489</v>
      </c>
    </row>
    <row r="17" spans="1:2" x14ac:dyDescent="0.25">
      <c r="A17" s="285"/>
      <c r="B17" s="254" t="s">
        <v>490</v>
      </c>
    </row>
    <row r="18" spans="1:2" x14ac:dyDescent="0.25">
      <c r="A18" s="285"/>
      <c r="B18" s="254" t="s">
        <v>496</v>
      </c>
    </row>
    <row r="19" spans="1:2" ht="7.5" customHeight="1" x14ac:dyDescent="0.25">
      <c r="A19" s="285"/>
    </row>
    <row r="20" spans="1:2" x14ac:dyDescent="0.25">
      <c r="A20" s="285"/>
      <c r="B20" s="254" t="s">
        <v>497</v>
      </c>
    </row>
    <row r="21" spans="1:2" x14ac:dyDescent="0.25">
      <c r="A21" s="285"/>
      <c r="B21" s="254" t="s">
        <v>498</v>
      </c>
    </row>
    <row r="22" spans="1:2" x14ac:dyDescent="0.25">
      <c r="A22" s="285"/>
      <c r="B22" s="254" t="s">
        <v>499</v>
      </c>
    </row>
    <row r="23" spans="1:2" x14ac:dyDescent="0.25">
      <c r="A23" s="285"/>
      <c r="B23" s="254" t="s">
        <v>500</v>
      </c>
    </row>
    <row r="24" spans="1:2" x14ac:dyDescent="0.25">
      <c r="A24" s="285"/>
      <c r="B24" s="254" t="s">
        <v>517</v>
      </c>
    </row>
    <row r="25" spans="1:2" x14ac:dyDescent="0.25">
      <c r="A25" s="285"/>
      <c r="B25" s="254" t="s">
        <v>501</v>
      </c>
    </row>
    <row r="26" spans="1:2" x14ac:dyDescent="0.25">
      <c r="A26" s="285"/>
      <c r="B26" s="254" t="s">
        <v>502</v>
      </c>
    </row>
    <row r="27" spans="1:2" x14ac:dyDescent="0.25">
      <c r="A27" s="285"/>
      <c r="B27" s="254" t="s">
        <v>503</v>
      </c>
    </row>
    <row r="28" spans="1:2" x14ac:dyDescent="0.25">
      <c r="A28" s="285"/>
      <c r="B28" s="254" t="s">
        <v>504</v>
      </c>
    </row>
    <row r="29" spans="1:2" ht="7.5" customHeight="1" x14ac:dyDescent="0.25">
      <c r="A29" s="285"/>
    </row>
    <row r="30" spans="1:2" ht="15" customHeight="1" x14ac:dyDescent="0.25">
      <c r="A30" s="285"/>
      <c r="B30" s="350" t="s">
        <v>512</v>
      </c>
    </row>
    <row r="31" spans="1:2" x14ac:dyDescent="0.25">
      <c r="A31" s="285"/>
      <c r="B31" s="254" t="s">
        <v>505</v>
      </c>
    </row>
    <row r="32" spans="1:2" x14ac:dyDescent="0.25">
      <c r="A32" s="285"/>
      <c r="B32" s="254" t="s">
        <v>407</v>
      </c>
    </row>
    <row r="33" spans="1:12" x14ac:dyDescent="0.25">
      <c r="A33" s="285"/>
      <c r="B33" s="254" t="s">
        <v>491</v>
      </c>
    </row>
    <row r="34" spans="1:12" x14ac:dyDescent="0.25">
      <c r="A34" s="285"/>
      <c r="B34" s="254" t="s">
        <v>492</v>
      </c>
    </row>
    <row r="35" spans="1:12" x14ac:dyDescent="0.25">
      <c r="A35" s="285"/>
      <c r="B35" s="254" t="s">
        <v>515</v>
      </c>
    </row>
    <row r="36" spans="1:12" x14ac:dyDescent="0.25">
      <c r="A36" s="285"/>
      <c r="B36" s="254" t="s">
        <v>516</v>
      </c>
    </row>
    <row r="37" spans="1:12" ht="7.5" customHeight="1" x14ac:dyDescent="0.25">
      <c r="A37" s="285"/>
    </row>
    <row r="38" spans="1:12" ht="15" customHeight="1" x14ac:dyDescent="0.25">
      <c r="A38" s="285"/>
      <c r="B38" s="350" t="s">
        <v>513</v>
      </c>
    </row>
    <row r="39" spans="1:12" x14ac:dyDescent="0.25">
      <c r="A39" s="285"/>
      <c r="B39" s="262" t="s">
        <v>506</v>
      </c>
      <c r="C39" s="262"/>
      <c r="D39" s="262"/>
      <c r="E39" s="262"/>
      <c r="F39" s="262"/>
      <c r="G39" s="262"/>
      <c r="H39" s="262"/>
      <c r="I39" s="262"/>
      <c r="J39" s="262"/>
      <c r="K39" s="262"/>
    </row>
    <row r="40" spans="1:12" x14ac:dyDescent="0.25">
      <c r="A40" s="285"/>
      <c r="B40" s="284" t="str">
        <f>IF(Costs!C82=0,"",Costs!C82)</f>
        <v/>
      </c>
      <c r="C40" s="262" t="s">
        <v>418</v>
      </c>
      <c r="D40" s="262"/>
      <c r="E40" s="284" t="str">
        <f>IF(Costs!C76=0,"",Costs!C76)</f>
        <v/>
      </c>
      <c r="F40" s="254" t="s">
        <v>411</v>
      </c>
      <c r="G40" s="262"/>
      <c r="H40" s="491"/>
      <c r="I40" s="491"/>
      <c r="J40" s="491"/>
      <c r="K40" s="491"/>
      <c r="L40" s="254" t="s">
        <v>412</v>
      </c>
    </row>
    <row r="41" spans="1:12" x14ac:dyDescent="0.25">
      <c r="A41" s="285"/>
      <c r="B41" s="254" t="s">
        <v>507</v>
      </c>
    </row>
    <row r="42" spans="1:12" x14ac:dyDescent="0.25">
      <c r="A42" s="285"/>
      <c r="B42" s="254" t="s">
        <v>508</v>
      </c>
    </row>
    <row r="43" spans="1:12" ht="7.5" customHeight="1" x14ac:dyDescent="0.25">
      <c r="A43" s="285"/>
    </row>
    <row r="44" spans="1:12" ht="15" customHeight="1" x14ac:dyDescent="0.25">
      <c r="A44" s="285"/>
      <c r="B44" s="350" t="s">
        <v>514</v>
      </c>
    </row>
    <row r="45" spans="1:12" x14ac:dyDescent="0.25">
      <c r="A45" s="285"/>
      <c r="B45" s="254" t="s">
        <v>409</v>
      </c>
    </row>
    <row r="46" spans="1:12" x14ac:dyDescent="0.25">
      <c r="A46" s="285"/>
      <c r="B46" s="254" t="s">
        <v>509</v>
      </c>
    </row>
    <row r="47" spans="1:12" ht="7.5" customHeight="1" x14ac:dyDescent="0.25">
      <c r="A47" s="285"/>
    </row>
    <row r="48" spans="1:12" x14ac:dyDescent="0.25">
      <c r="A48" s="285"/>
      <c r="B48" s="254" t="s">
        <v>408</v>
      </c>
    </row>
    <row r="49" spans="1:12" x14ac:dyDescent="0.25">
      <c r="A49" s="285"/>
    </row>
    <row r="50" spans="1:12" x14ac:dyDescent="0.25">
      <c r="A50" s="285"/>
      <c r="B50" s="285"/>
      <c r="C50" s="285"/>
      <c r="D50" s="285"/>
      <c r="E50" s="285"/>
      <c r="F50" s="285"/>
      <c r="G50" s="285"/>
      <c r="H50" s="285"/>
      <c r="I50" s="285"/>
      <c r="J50" s="285"/>
      <c r="K50" s="285"/>
      <c r="L50" s="285"/>
    </row>
    <row r="51" spans="1:12" x14ac:dyDescent="0.25">
      <c r="A51" s="285"/>
      <c r="B51" s="490"/>
      <c r="C51" s="490"/>
      <c r="D51" s="490"/>
      <c r="E51" s="285"/>
      <c r="F51" s="285"/>
      <c r="G51" s="285"/>
      <c r="H51" s="285"/>
      <c r="I51" s="285"/>
      <c r="J51" s="285"/>
      <c r="K51" s="285"/>
      <c r="L51" s="285"/>
    </row>
    <row r="52" spans="1:12" x14ac:dyDescent="0.25">
      <c r="B52" s="254" t="s">
        <v>410</v>
      </c>
    </row>
  </sheetData>
  <sheetProtection password="D80C" sheet="1" objects="1" scenarios="1" selectLockedCells="1"/>
  <mergeCells count="7">
    <mergeCell ref="J4:K4"/>
    <mergeCell ref="B51:D51"/>
    <mergeCell ref="B2:M2"/>
    <mergeCell ref="D4:G4"/>
    <mergeCell ref="E6:I6"/>
    <mergeCell ref="B9:D9"/>
    <mergeCell ref="H40:K40"/>
  </mergeCells>
  <phoneticPr fontId="2" type="noConversion"/>
  <pageMargins left="0.75" right="0.75" top="1" bottom="1" header="0.5" footer="0.5"/>
  <pageSetup scale="9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fitToPage="1"/>
  </sheetPr>
  <dimension ref="B2:K85"/>
  <sheetViews>
    <sheetView showGridLines="0" showRowColHeaders="0" tabSelected="1" zoomScale="75" workbookViewId="0">
      <pane ySplit="10" topLeftCell="A11" activePane="bottomLeft" state="frozen"/>
      <selection pane="bottomLeft" activeCell="B6" sqref="B6"/>
    </sheetView>
  </sheetViews>
  <sheetFormatPr defaultRowHeight="15.75" x14ac:dyDescent="0.25"/>
  <cols>
    <col min="1" max="1" width="4.7109375" style="54" customWidth="1"/>
    <col min="2" max="2" width="66.28515625" style="54" customWidth="1"/>
    <col min="3" max="3" width="15.7109375" style="54" customWidth="1"/>
    <col min="4" max="4" width="15.140625" style="54" customWidth="1"/>
    <col min="5" max="6" width="15.7109375" style="54" customWidth="1"/>
    <col min="7" max="7" width="9.140625" style="54"/>
    <col min="8" max="8" width="15.42578125" style="54" hidden="1" customWidth="1"/>
    <col min="9" max="9" width="15" style="54" hidden="1" customWidth="1"/>
    <col min="10" max="10" width="14" style="48" hidden="1" customWidth="1"/>
    <col min="11" max="11" width="14" style="54" hidden="1" customWidth="1"/>
    <col min="12" max="16384" width="9.140625" style="54"/>
  </cols>
  <sheetData>
    <row r="2" spans="2:10" ht="18.75" x14ac:dyDescent="0.3">
      <c r="B2" s="398" t="s">
        <v>42</v>
      </c>
      <c r="C2" s="398"/>
      <c r="D2" s="398"/>
      <c r="E2" s="398"/>
      <c r="F2" s="398"/>
    </row>
    <row r="3" spans="2:10" ht="15.75" customHeight="1" x14ac:dyDescent="0.3">
      <c r="B3" s="223"/>
      <c r="C3" s="223"/>
      <c r="D3" s="223"/>
      <c r="E3" s="223"/>
      <c r="F3" s="223"/>
    </row>
    <row r="5" spans="2:10" x14ac:dyDescent="0.25">
      <c r="B5" s="51" t="s">
        <v>0</v>
      </c>
      <c r="C5" s="48"/>
      <c r="D5" s="292" t="s">
        <v>467</v>
      </c>
      <c r="E5" s="48"/>
      <c r="F5" s="292" t="s">
        <v>37</v>
      </c>
    </row>
    <row r="6" spans="2:10" x14ac:dyDescent="0.25">
      <c r="B6" s="63"/>
      <c r="C6" s="48"/>
      <c r="D6" s="63"/>
      <c r="F6" s="291"/>
    </row>
    <row r="7" spans="2:10" x14ac:dyDescent="0.25">
      <c r="B7" s="62"/>
      <c r="C7" s="48"/>
      <c r="D7" s="48"/>
      <c r="E7" s="61"/>
      <c r="F7" s="45"/>
    </row>
    <row r="8" spans="2:10" x14ac:dyDescent="0.25">
      <c r="B8" s="48"/>
      <c r="C8" s="48"/>
      <c r="D8" s="48"/>
      <c r="E8" s="48"/>
      <c r="F8" s="48"/>
      <c r="H8" s="48">
        <v>2011</v>
      </c>
    </row>
    <row r="9" spans="2:10" ht="15.75" customHeight="1" x14ac:dyDescent="0.25">
      <c r="B9" s="226" t="s">
        <v>45</v>
      </c>
      <c r="C9" s="244" t="s">
        <v>17</v>
      </c>
      <c r="D9" s="38"/>
      <c r="E9" s="396" t="s">
        <v>3</v>
      </c>
      <c r="F9" s="397"/>
      <c r="H9" s="48">
        <v>2012</v>
      </c>
    </row>
    <row r="10" spans="2:10" ht="15.75" customHeight="1" x14ac:dyDescent="0.25">
      <c r="B10" s="225" t="s">
        <v>332</v>
      </c>
      <c r="C10" s="245" t="s">
        <v>45</v>
      </c>
      <c r="D10" s="38"/>
      <c r="E10" s="227" t="s">
        <v>43</v>
      </c>
      <c r="F10" s="49" t="s">
        <v>44</v>
      </c>
      <c r="H10" s="48">
        <v>2013</v>
      </c>
    </row>
    <row r="11" spans="2:10" ht="15.75" customHeight="1" x14ac:dyDescent="0.25">
      <c r="B11" s="42" t="s">
        <v>431</v>
      </c>
      <c r="C11" s="57"/>
      <c r="D11" s="370"/>
      <c r="E11" s="59"/>
      <c r="F11" s="58"/>
      <c r="H11" s="48">
        <v>2014</v>
      </c>
      <c r="J11" s="50"/>
    </row>
    <row r="12" spans="2:10" x14ac:dyDescent="0.25">
      <c r="B12" s="39" t="s">
        <v>415</v>
      </c>
      <c r="C12" s="57"/>
      <c r="D12" s="371"/>
      <c r="E12" s="59"/>
      <c r="F12" s="59"/>
      <c r="H12" s="48"/>
    </row>
    <row r="13" spans="2:10" x14ac:dyDescent="0.25">
      <c r="B13" s="39" t="s">
        <v>46</v>
      </c>
      <c r="C13" s="57"/>
      <c r="D13" s="371"/>
      <c r="E13" s="59"/>
      <c r="F13" s="59"/>
    </row>
    <row r="14" spans="2:10" x14ac:dyDescent="0.25">
      <c r="B14" s="39" t="s">
        <v>47</v>
      </c>
      <c r="C14" s="57"/>
      <c r="D14" s="371"/>
      <c r="E14" s="59"/>
      <c r="F14" s="59"/>
    </row>
    <row r="15" spans="2:10" x14ac:dyDescent="0.25">
      <c r="B15" s="39" t="s">
        <v>48</v>
      </c>
      <c r="C15" s="57"/>
      <c r="D15" s="371"/>
      <c r="E15" s="59"/>
      <c r="F15" s="59"/>
    </row>
    <row r="16" spans="2:10" x14ac:dyDescent="0.25">
      <c r="B16" s="39" t="s">
        <v>49</v>
      </c>
      <c r="C16" s="57"/>
      <c r="D16" s="372"/>
      <c r="E16" s="59"/>
      <c r="F16" s="59"/>
    </row>
    <row r="17" spans="2:8" x14ac:dyDescent="0.25">
      <c r="B17" s="39" t="s">
        <v>50</v>
      </c>
      <c r="C17" s="57"/>
      <c r="D17" s="40">
        <f>IF(ISBLANK(C17),0,C17/SUM(C12:C16))</f>
        <v>0</v>
      </c>
      <c r="E17" s="59"/>
      <c r="F17" s="59"/>
    </row>
    <row r="18" spans="2:8" x14ac:dyDescent="0.25">
      <c r="B18" s="39" t="s">
        <v>51</v>
      </c>
      <c r="C18" s="57"/>
      <c r="D18" s="40">
        <f>IF(ISBLANK(C18),0,C18/SUM(C12:C17))</f>
        <v>0</v>
      </c>
      <c r="E18" s="59"/>
      <c r="F18" s="59"/>
    </row>
    <row r="19" spans="2:8" x14ac:dyDescent="0.25">
      <c r="B19" s="41" t="s">
        <v>52</v>
      </c>
      <c r="C19" s="57"/>
      <c r="D19" s="40">
        <f>IF(ISBLANK(C19),0,C19/SUM(C12:C17))</f>
        <v>0</v>
      </c>
      <c r="E19" s="59"/>
      <c r="F19" s="59"/>
      <c r="H19" s="121"/>
    </row>
    <row r="20" spans="2:8" x14ac:dyDescent="0.25">
      <c r="B20" s="293" t="s">
        <v>555</v>
      </c>
      <c r="C20" s="57"/>
      <c r="D20" s="40">
        <f>IF(ISBLANK(C20),0,C20/SUM(C12:C19))</f>
        <v>0</v>
      </c>
      <c r="E20" s="59"/>
      <c r="F20" s="59"/>
      <c r="H20" s="121"/>
    </row>
    <row r="21" spans="2:8" x14ac:dyDescent="0.25">
      <c r="B21" s="42" t="s">
        <v>432</v>
      </c>
      <c r="C21" s="57"/>
      <c r="D21" s="40"/>
      <c r="E21" s="59"/>
      <c r="F21" s="59"/>
      <c r="H21" s="121"/>
    </row>
    <row r="22" spans="2:8" x14ac:dyDescent="0.25">
      <c r="B22" s="39" t="s">
        <v>53</v>
      </c>
      <c r="C22" s="57"/>
      <c r="D22" s="40">
        <f>IF(ISBLANK(C21),0,(C21+C22)/SUM(C12:C20))</f>
        <v>0</v>
      </c>
      <c r="E22" s="59"/>
      <c r="F22" s="59"/>
      <c r="H22" s="221"/>
    </row>
    <row r="23" spans="2:8" x14ac:dyDescent="0.25">
      <c r="B23" s="294" t="s">
        <v>433</v>
      </c>
      <c r="C23" s="57"/>
      <c r="D23" s="370"/>
      <c r="E23" s="59"/>
      <c r="F23" s="59"/>
      <c r="H23" s="221"/>
    </row>
    <row r="24" spans="2:8" x14ac:dyDescent="0.25">
      <c r="B24" s="43" t="s">
        <v>434</v>
      </c>
      <c r="C24" s="64">
        <f>SUM(C11:C23)</f>
        <v>0</v>
      </c>
      <c r="D24" s="371"/>
      <c r="E24" s="313"/>
      <c r="F24" s="314"/>
    </row>
    <row r="25" spans="2:8" x14ac:dyDescent="0.25">
      <c r="B25" s="39" t="s">
        <v>435</v>
      </c>
      <c r="C25" s="57"/>
      <c r="D25" s="371"/>
      <c r="E25" s="59"/>
      <c r="F25" s="59"/>
    </row>
    <row r="26" spans="2:8" x14ac:dyDescent="0.25">
      <c r="B26" s="39" t="s">
        <v>436</v>
      </c>
      <c r="C26" s="57"/>
      <c r="D26" s="371"/>
      <c r="E26" s="59"/>
      <c r="F26" s="59"/>
    </row>
    <row r="27" spans="2:8" x14ac:dyDescent="0.25">
      <c r="B27" s="39" t="s">
        <v>437</v>
      </c>
      <c r="C27" s="57"/>
      <c r="D27" s="371"/>
      <c r="E27" s="59"/>
      <c r="F27" s="59"/>
    </row>
    <row r="28" spans="2:8" x14ac:dyDescent="0.25">
      <c r="B28" s="39" t="s">
        <v>438</v>
      </c>
      <c r="C28" s="57"/>
      <c r="D28" s="371"/>
      <c r="E28" s="59"/>
      <c r="F28" s="59"/>
    </row>
    <row r="29" spans="2:8" x14ac:dyDescent="0.25">
      <c r="B29" s="39" t="s">
        <v>439</v>
      </c>
      <c r="C29" s="57"/>
      <c r="D29" s="371"/>
      <c r="E29" s="59"/>
      <c r="F29" s="59"/>
    </row>
    <row r="30" spans="2:8" x14ac:dyDescent="0.25">
      <c r="B30" s="39" t="s">
        <v>440</v>
      </c>
      <c r="C30" s="57"/>
      <c r="D30" s="371"/>
      <c r="E30" s="59"/>
      <c r="F30" s="59"/>
    </row>
    <row r="31" spans="2:8" x14ac:dyDescent="0.25">
      <c r="B31" s="39" t="s">
        <v>441</v>
      </c>
      <c r="C31" s="57"/>
      <c r="D31" s="371"/>
      <c r="E31" s="59"/>
      <c r="F31" s="59"/>
    </row>
    <row r="32" spans="2:8" x14ac:dyDescent="0.25">
      <c r="B32" s="39" t="s">
        <v>442</v>
      </c>
      <c r="C32" s="57"/>
      <c r="D32" s="371"/>
      <c r="E32" s="59"/>
      <c r="F32" s="59"/>
    </row>
    <row r="33" spans="2:10" x14ac:dyDescent="0.25">
      <c r="B33" s="39" t="s">
        <v>443</v>
      </c>
      <c r="C33" s="57"/>
      <c r="D33" s="371"/>
      <c r="E33" s="59"/>
      <c r="F33" s="59"/>
    </row>
    <row r="34" spans="2:10" x14ac:dyDescent="0.25">
      <c r="B34" s="39" t="s">
        <v>444</v>
      </c>
      <c r="C34" s="57"/>
      <c r="D34" s="371"/>
      <c r="E34" s="59"/>
      <c r="F34" s="59"/>
    </row>
    <row r="35" spans="2:10" x14ac:dyDescent="0.25">
      <c r="B35" s="39" t="s">
        <v>445</v>
      </c>
      <c r="C35" s="57"/>
      <c r="D35" s="371"/>
      <c r="E35" s="315"/>
      <c r="F35" s="316"/>
    </row>
    <row r="36" spans="2:10" x14ac:dyDescent="0.25">
      <c r="B36" s="39" t="s">
        <v>446</v>
      </c>
      <c r="C36" s="57"/>
      <c r="D36" s="371"/>
      <c r="E36" s="317"/>
      <c r="F36" s="318"/>
    </row>
    <row r="37" spans="2:10" x14ac:dyDescent="0.25">
      <c r="B37" s="39" t="s">
        <v>447</v>
      </c>
      <c r="C37" s="57"/>
      <c r="D37" s="371"/>
      <c r="E37" s="317"/>
      <c r="F37" s="318"/>
    </row>
    <row r="38" spans="2:10" x14ac:dyDescent="0.25">
      <c r="B38" s="39" t="s">
        <v>448</v>
      </c>
      <c r="C38" s="57"/>
      <c r="D38" s="371"/>
      <c r="E38" s="317"/>
      <c r="F38" s="318"/>
    </row>
    <row r="39" spans="2:10" x14ac:dyDescent="0.25">
      <c r="B39" s="39" t="s">
        <v>449</v>
      </c>
      <c r="C39" s="57"/>
      <c r="D39" s="371"/>
      <c r="E39" s="317"/>
      <c r="F39" s="318"/>
    </row>
    <row r="40" spans="2:10" x14ac:dyDescent="0.25">
      <c r="B40" s="39" t="s">
        <v>450</v>
      </c>
      <c r="C40" s="57"/>
      <c r="D40" s="371"/>
      <c r="E40" s="317"/>
      <c r="F40" s="318"/>
    </row>
    <row r="41" spans="2:10" x14ac:dyDescent="0.25">
      <c r="B41" s="43" t="s">
        <v>451</v>
      </c>
      <c r="C41" s="64">
        <f>SUM(C25:C40)</f>
        <v>0</v>
      </c>
      <c r="D41" s="371"/>
      <c r="E41" s="319"/>
      <c r="F41" s="320"/>
    </row>
    <row r="42" spans="2:10" x14ac:dyDescent="0.25">
      <c r="B42" s="39" t="s">
        <v>452</v>
      </c>
      <c r="C42" s="57"/>
      <c r="D42" s="371"/>
      <c r="E42" s="59"/>
      <c r="F42" s="59"/>
    </row>
    <row r="43" spans="2:10" x14ac:dyDescent="0.25">
      <c r="B43" s="39" t="s">
        <v>453</v>
      </c>
      <c r="C43" s="57"/>
      <c r="D43" s="372"/>
      <c r="E43" s="59"/>
      <c r="F43" s="59"/>
    </row>
    <row r="44" spans="2:10" x14ac:dyDescent="0.25">
      <c r="B44" s="42" t="s">
        <v>454</v>
      </c>
      <c r="C44" s="298">
        <f>IF(D6="",0,IF(D6=2011,2400,IF(D6=2012,2440,IF(D6=2013,2480,2520))))</f>
        <v>0</v>
      </c>
      <c r="D44" s="93" t="s">
        <v>391</v>
      </c>
      <c r="E44" s="315"/>
      <c r="F44" s="316"/>
    </row>
    <row r="45" spans="2:10" x14ac:dyDescent="0.25">
      <c r="B45" s="42" t="s">
        <v>466</v>
      </c>
      <c r="C45" s="57"/>
      <c r="D45" s="274"/>
      <c r="E45" s="317"/>
      <c r="F45" s="318"/>
      <c r="H45" s="52" t="s">
        <v>480</v>
      </c>
      <c r="I45" s="52" t="s">
        <v>481</v>
      </c>
    </row>
    <row r="46" spans="2:10" x14ac:dyDescent="0.25">
      <c r="B46" s="295" t="s">
        <v>478</v>
      </c>
      <c r="C46" s="298">
        <f>H46</f>
        <v>0</v>
      </c>
      <c r="D46" s="373"/>
      <c r="E46" s="317"/>
      <c r="F46" s="318"/>
      <c r="G46" s="51"/>
      <c r="H46" s="297">
        <f>IF(Sources!C19&gt;0,1500,0)</f>
        <v>0</v>
      </c>
      <c r="I46" s="297">
        <f>IF(Sources!C10&gt;0,2000,0)</f>
        <v>0</v>
      </c>
    </row>
    <row r="47" spans="2:10" x14ac:dyDescent="0.25">
      <c r="B47" s="295" t="s">
        <v>479</v>
      </c>
      <c r="C47" s="298">
        <f>I46</f>
        <v>0</v>
      </c>
      <c r="D47" s="374"/>
      <c r="E47" s="319"/>
      <c r="F47" s="320"/>
      <c r="G47" s="48"/>
    </row>
    <row r="48" spans="2:10" x14ac:dyDescent="0.25">
      <c r="B48" s="39" t="s">
        <v>455</v>
      </c>
      <c r="C48" s="57"/>
      <c r="D48" s="375"/>
      <c r="E48" s="59"/>
      <c r="F48" s="59"/>
      <c r="G48" s="48"/>
      <c r="H48" s="48"/>
      <c r="I48" s="312">
        <f>IF(D6="",0,IF(D6=2011,740,IF(D6=2012,760,IF(D6=2013,780,IF(D6=2014,800,0)))))</f>
        <v>0</v>
      </c>
      <c r="J48" s="48" t="s">
        <v>482</v>
      </c>
    </row>
    <row r="49" spans="2:11" x14ac:dyDescent="0.25">
      <c r="B49" s="41" t="s">
        <v>456</v>
      </c>
      <c r="C49" s="57"/>
      <c r="D49" s="375"/>
      <c r="E49" s="315"/>
      <c r="F49" s="316"/>
      <c r="G49" s="48"/>
      <c r="H49" s="48"/>
      <c r="I49" s="48"/>
    </row>
    <row r="50" spans="2:11" x14ac:dyDescent="0.25">
      <c r="B50" s="41" t="s">
        <v>457</v>
      </c>
      <c r="C50" s="57"/>
      <c r="D50" s="376"/>
      <c r="E50" s="317"/>
      <c r="F50" s="318"/>
      <c r="G50" s="48"/>
      <c r="H50" s="303"/>
      <c r="I50" s="306" t="s">
        <v>471</v>
      </c>
      <c r="J50" s="323"/>
      <c r="K50" s="388">
        <f>IF(C15="",0,IF(D6=2011,0,IF(D6=2012,0,IF(D6=2013,0,IF(I51&gt;1100000,1100000,I51)))))</f>
        <v>0</v>
      </c>
    </row>
    <row r="51" spans="2:11" ht="15.75" customHeight="1" x14ac:dyDescent="0.25">
      <c r="B51" s="39" t="s">
        <v>458</v>
      </c>
      <c r="C51" s="57"/>
      <c r="D51" s="58">
        <f>I48*('Unit Mix'!F35)</f>
        <v>0</v>
      </c>
      <c r="E51" s="317"/>
      <c r="F51" s="318"/>
      <c r="G51" s="48"/>
      <c r="H51" s="62" t="s">
        <v>470</v>
      </c>
      <c r="I51" s="327">
        <f>IF(C14&gt;0,0,J51*'Unit Mix'!F35)</f>
        <v>0</v>
      </c>
      <c r="J51" s="328">
        <f>IF(D6="",0,IF(D6=2011,11500,IF(D6=2014,12500,12000)))</f>
        <v>0</v>
      </c>
      <c r="K51" s="307">
        <f>IF(C15="",0,IF(D6=2014,0,IF(I51&gt;1000000,1000000,I51)))</f>
        <v>0</v>
      </c>
    </row>
    <row r="52" spans="2:11" x14ac:dyDescent="0.25">
      <c r="B52" s="43" t="s">
        <v>459</v>
      </c>
      <c r="C52" s="64">
        <f>SUM(C42:C51)</f>
        <v>0</v>
      </c>
      <c r="D52" s="370"/>
      <c r="E52" s="319"/>
      <c r="F52" s="320"/>
      <c r="G52" s="48"/>
      <c r="H52" s="332">
        <f>IF(C15&gt;0,0,IF(C14="",0,IF(D6=2014,0,IF(H53&gt;1000000,1000000,H53))))</f>
        <v>0</v>
      </c>
      <c r="I52" s="389">
        <f>IF(C15&gt;0,0,IF(C14="",0,IF(D6=2011,0,IF(D6=2012,0,IF(D6=2013,0,IF(H53&gt;1100000,1100000,H53))))))</f>
        <v>0</v>
      </c>
      <c r="J52" s="329"/>
    </row>
    <row r="53" spans="2:11" x14ac:dyDescent="0.25">
      <c r="B53" s="39" t="s">
        <v>460</v>
      </c>
      <c r="C53" s="57"/>
      <c r="D53" s="377"/>
      <c r="E53" s="59"/>
      <c r="F53" s="59"/>
      <c r="G53" s="48"/>
      <c r="H53" s="333">
        <f>J53*C14</f>
        <v>0</v>
      </c>
      <c r="I53" s="330" t="s">
        <v>473</v>
      </c>
      <c r="J53" s="331">
        <f>IF(D6="",0,IF(D6=2011,0.275,IF(D6=2014,0.285,0.28)))</f>
        <v>0</v>
      </c>
    </row>
    <row r="54" spans="2:11" ht="15.75" customHeight="1" x14ac:dyDescent="0.25">
      <c r="B54" s="42" t="s">
        <v>461</v>
      </c>
      <c r="C54" s="57"/>
      <c r="D54" s="304" t="s">
        <v>472</v>
      </c>
      <c r="E54" s="59"/>
      <c r="F54" s="59"/>
      <c r="G54" s="48"/>
      <c r="H54" s="45"/>
      <c r="I54" s="48"/>
    </row>
    <row r="55" spans="2:11" x14ac:dyDescent="0.25">
      <c r="B55" s="42" t="s">
        <v>462</v>
      </c>
      <c r="C55" s="57"/>
      <c r="D55" s="305">
        <f>H52+K50+K51+I52</f>
        <v>0</v>
      </c>
      <c r="E55" s="59"/>
      <c r="F55" s="59"/>
      <c r="G55" s="48"/>
      <c r="H55" s="45"/>
      <c r="I55" s="48"/>
    </row>
    <row r="56" spans="2:11" x14ac:dyDescent="0.25">
      <c r="B56" s="42" t="s">
        <v>554</v>
      </c>
      <c r="C56" s="57"/>
      <c r="D56" s="378"/>
      <c r="E56" s="59"/>
      <c r="F56" s="59"/>
      <c r="G56" s="48"/>
      <c r="H56" s="45"/>
      <c r="I56" s="48"/>
    </row>
    <row r="57" spans="2:11" x14ac:dyDescent="0.25">
      <c r="B57" s="299" t="s">
        <v>463</v>
      </c>
      <c r="C57" s="57"/>
      <c r="D57" s="375"/>
      <c r="E57" s="59"/>
      <c r="F57" s="59"/>
      <c r="G57" s="48"/>
      <c r="H57" s="45"/>
      <c r="I57" s="48"/>
    </row>
    <row r="58" spans="2:11" x14ac:dyDescent="0.25">
      <c r="B58" s="299" t="s">
        <v>529</v>
      </c>
      <c r="C58" s="57"/>
      <c r="D58" s="379"/>
      <c r="E58" s="59"/>
      <c r="F58" s="59"/>
      <c r="G58" s="48"/>
      <c r="H58" s="52" t="s">
        <v>487</v>
      </c>
      <c r="I58" s="48"/>
    </row>
    <row r="59" spans="2:11" x14ac:dyDescent="0.25">
      <c r="B59" s="39" t="s">
        <v>530</v>
      </c>
      <c r="C59" s="57"/>
      <c r="D59" s="380"/>
      <c r="E59" s="315"/>
      <c r="F59" s="316"/>
      <c r="G59" s="48"/>
      <c r="H59" s="53">
        <f>1500*'Unit Mix'!F35</f>
        <v>0</v>
      </c>
      <c r="I59" s="48"/>
    </row>
    <row r="60" spans="2:11" x14ac:dyDescent="0.25">
      <c r="B60" s="300" t="s">
        <v>464</v>
      </c>
      <c r="C60" s="57"/>
      <c r="D60" s="381"/>
      <c r="E60" s="317"/>
      <c r="F60" s="318"/>
      <c r="G60" s="48"/>
      <c r="H60" s="55"/>
    </row>
    <row r="61" spans="2:11" x14ac:dyDescent="0.25">
      <c r="B61" s="299" t="s">
        <v>531</v>
      </c>
      <c r="C61" s="57"/>
      <c r="D61" s="382"/>
      <c r="E61" s="317"/>
      <c r="F61" s="318"/>
      <c r="H61" s="56" t="s">
        <v>54</v>
      </c>
    </row>
    <row r="62" spans="2:11" x14ac:dyDescent="0.25">
      <c r="B62" s="358" t="s">
        <v>532</v>
      </c>
      <c r="C62" s="64">
        <f>SUM(C53:C61)</f>
        <v>0</v>
      </c>
      <c r="D62" s="383"/>
      <c r="E62" s="317"/>
      <c r="F62" s="318"/>
      <c r="H62" s="53">
        <f>ROUND(('Op Budg'!F65+'Cash Flow'!D28)/2,0)</f>
        <v>0</v>
      </c>
    </row>
    <row r="63" spans="2:11" x14ac:dyDescent="0.25">
      <c r="B63" s="39" t="s">
        <v>533</v>
      </c>
      <c r="C63" s="57"/>
      <c r="D63" s="58">
        <f>300*'Unit Mix'!F35</f>
        <v>0</v>
      </c>
      <c r="E63" s="317"/>
      <c r="F63" s="318"/>
      <c r="H63" s="55"/>
    </row>
    <row r="64" spans="2:11" x14ac:dyDescent="0.25">
      <c r="B64" s="39" t="s">
        <v>534</v>
      </c>
      <c r="C64" s="57"/>
      <c r="D64" s="44">
        <f>IF(H59&gt;H62,H59,H62)</f>
        <v>0</v>
      </c>
      <c r="E64" s="317"/>
      <c r="F64" s="318"/>
      <c r="H64" s="55"/>
    </row>
    <row r="65" spans="2:8" x14ac:dyDescent="0.25">
      <c r="B65" s="299" t="s">
        <v>465</v>
      </c>
      <c r="C65" s="57"/>
      <c r="D65" s="384"/>
      <c r="E65" s="317"/>
      <c r="F65" s="318"/>
      <c r="H65" s="55"/>
    </row>
    <row r="66" spans="2:8" x14ac:dyDescent="0.25">
      <c r="B66" s="299" t="s">
        <v>536</v>
      </c>
      <c r="C66" s="57"/>
      <c r="D66" s="382"/>
      <c r="E66" s="319"/>
      <c r="F66" s="320"/>
    </row>
    <row r="67" spans="2:8" x14ac:dyDescent="0.25">
      <c r="B67" s="42" t="s">
        <v>535</v>
      </c>
      <c r="C67" s="64">
        <f>C24+C41+C52+C62+SUM(C63:C66)</f>
        <v>0</v>
      </c>
      <c r="D67" s="385"/>
      <c r="E67" s="67">
        <f>SUM(E11:E66)</f>
        <v>0</v>
      </c>
      <c r="F67" s="67">
        <f>SUM(F11:F66)</f>
        <v>0</v>
      </c>
    </row>
    <row r="68" spans="2:8" x14ac:dyDescent="0.25">
      <c r="B68" s="42" t="s">
        <v>537</v>
      </c>
      <c r="C68" s="57"/>
      <c r="D68" s="385"/>
      <c r="E68" s="58"/>
      <c r="F68" s="68">
        <f>PDC_Less_Fed_Financ_other_than_CDBG</f>
        <v>0</v>
      </c>
    </row>
    <row r="69" spans="2:8" x14ac:dyDescent="0.25">
      <c r="B69" s="39" t="s">
        <v>538</v>
      </c>
      <c r="C69" s="57"/>
      <c r="D69" s="385"/>
      <c r="E69" s="59"/>
      <c r="F69" s="59"/>
    </row>
    <row r="70" spans="2:8" x14ac:dyDescent="0.25">
      <c r="B70" s="39" t="s">
        <v>539</v>
      </c>
      <c r="C70" s="57"/>
      <c r="D70" s="385"/>
      <c r="E70" s="59"/>
      <c r="F70" s="59"/>
    </row>
    <row r="71" spans="2:8" x14ac:dyDescent="0.25">
      <c r="B71" s="39" t="s">
        <v>540</v>
      </c>
      <c r="C71" s="57"/>
      <c r="D71" s="385"/>
      <c r="E71" s="58"/>
      <c r="F71" s="68">
        <f>PDC_Less_Historic_Tax_Credit</f>
        <v>0</v>
      </c>
    </row>
    <row r="72" spans="2:8" x14ac:dyDescent="0.25">
      <c r="B72" s="39" t="s">
        <v>541</v>
      </c>
      <c r="C72" s="65">
        <f>E72+F72</f>
        <v>0</v>
      </c>
      <c r="D72" s="385"/>
      <c r="E72" s="67">
        <f>E67-PDC_Less_Disproportionate_Std_30_PV-PDC_Less_Nonqual_Nonrecourse_Financ_30_PV</f>
        <v>0</v>
      </c>
      <c r="F72" s="67">
        <f>F67-PDC_Less_Fed_Financ_other_than_CDBG_70_PV-PDC_Less_Disproportionate_Std_70_PV-PDC_Less_Nonqual_Nonrecourse_Financ_70_PV-F71</f>
        <v>0</v>
      </c>
    </row>
    <row r="73" spans="2:8" x14ac:dyDescent="0.25">
      <c r="B73" s="39" t="s">
        <v>542</v>
      </c>
      <c r="C73" s="321"/>
      <c r="D73" s="386"/>
      <c r="E73" s="69">
        <v>1</v>
      </c>
      <c r="F73" s="69">
        <v>1</v>
      </c>
      <c r="H73" s="121"/>
    </row>
    <row r="74" spans="2:8" x14ac:dyDescent="0.25">
      <c r="B74" s="39" t="s">
        <v>543</v>
      </c>
      <c r="C74" s="234">
        <f>E74+F74</f>
        <v>0</v>
      </c>
      <c r="D74" s="386"/>
      <c r="E74" s="70">
        <f>E72*PDC_Times_Applicable_Fraction_30_PV</f>
        <v>0</v>
      </c>
      <c r="F74" s="70">
        <f>F72*PDC_Times_Applicable_Fraction_70_PV</f>
        <v>0</v>
      </c>
    </row>
    <row r="75" spans="2:8" x14ac:dyDescent="0.25">
      <c r="B75" s="39" t="s">
        <v>544</v>
      </c>
      <c r="C75" s="322"/>
      <c r="D75" s="386"/>
      <c r="E75" s="324">
        <v>1</v>
      </c>
      <c r="F75" s="324">
        <v>1</v>
      </c>
    </row>
    <row r="76" spans="2:8" x14ac:dyDescent="0.25">
      <c r="B76" s="39" t="s">
        <v>545</v>
      </c>
      <c r="C76" s="65">
        <f>E76+F76</f>
        <v>0</v>
      </c>
      <c r="D76" s="385"/>
      <c r="E76" s="67">
        <f>E74*E75</f>
        <v>0</v>
      </c>
      <c r="F76" s="67">
        <f>IF(F75&gt;1,ROUND(F74*F75,0),F74*F75)</f>
        <v>0</v>
      </c>
    </row>
    <row r="77" spans="2:8" x14ac:dyDescent="0.25">
      <c r="B77" s="39" t="s">
        <v>546</v>
      </c>
      <c r="C77" s="322"/>
      <c r="D77" s="385"/>
      <c r="E77" s="60">
        <v>0</v>
      </c>
      <c r="F77" s="325">
        <v>0</v>
      </c>
    </row>
    <row r="78" spans="2:8" x14ac:dyDescent="0.25">
      <c r="B78" s="42" t="s">
        <v>547</v>
      </c>
      <c r="C78" s="302">
        <f>E78+F78</f>
        <v>0</v>
      </c>
      <c r="D78" s="385"/>
      <c r="E78" s="302">
        <f>E76*PDC_Tax_Credit_Rate_30_PV</f>
        <v>0</v>
      </c>
      <c r="F78" s="302">
        <f>F76*PDC_Tax_Credit_Rate_70_PV</f>
        <v>0</v>
      </c>
    </row>
    <row r="79" spans="2:8" x14ac:dyDescent="0.25">
      <c r="B79" s="42" t="s">
        <v>548</v>
      </c>
      <c r="C79" s="57"/>
      <c r="D79" s="385"/>
      <c r="E79" s="313"/>
      <c r="F79" s="314"/>
    </row>
    <row r="80" spans="2:8" x14ac:dyDescent="0.25">
      <c r="B80" s="42" t="s">
        <v>551</v>
      </c>
      <c r="C80" s="66">
        <f>E80+F80</f>
        <v>0</v>
      </c>
      <c r="D80" s="387"/>
      <c r="E80" s="59">
        <v>0</v>
      </c>
      <c r="F80" s="59">
        <v>0</v>
      </c>
    </row>
    <row r="81" spans="2:6" x14ac:dyDescent="0.25">
      <c r="B81" s="39" t="s">
        <v>549</v>
      </c>
      <c r="C81" s="57"/>
      <c r="D81" s="45"/>
      <c r="E81" s="46"/>
      <c r="F81" s="46"/>
    </row>
    <row r="82" spans="2:6" x14ac:dyDescent="0.25">
      <c r="B82" s="39" t="s">
        <v>550</v>
      </c>
      <c r="C82" s="64">
        <f>C67+PDC_Land_Cost</f>
        <v>0</v>
      </c>
      <c r="D82" s="47"/>
      <c r="E82" s="48"/>
      <c r="F82" s="48"/>
    </row>
    <row r="83" spans="2:6" x14ac:dyDescent="0.25">
      <c r="C83" s="222"/>
      <c r="D83" s="55"/>
      <c r="F83" s="326"/>
    </row>
    <row r="84" spans="2:6" x14ac:dyDescent="0.25">
      <c r="B84" s="310" t="s">
        <v>486</v>
      </c>
      <c r="C84" s="311" t="str">
        <f>IF(C15="","",IF('Unit Mix'!F35=0,"",C15/'Unit Mix'!F35))</f>
        <v/>
      </c>
    </row>
    <row r="85" spans="2:6" x14ac:dyDescent="0.25">
      <c r="B85" s="399" t="s">
        <v>485</v>
      </c>
      <c r="C85" s="399"/>
    </row>
  </sheetData>
  <sheetProtection password="92A6" sheet="1" objects="1" scenarios="1" selectLockedCells="1"/>
  <mergeCells count="3">
    <mergeCell ref="E9:F9"/>
    <mergeCell ref="B2:F2"/>
    <mergeCell ref="B85:C85"/>
  </mergeCells>
  <phoneticPr fontId="2" type="noConversion"/>
  <conditionalFormatting sqref="D63">
    <cfRule type="cellIs" dxfId="54" priority="7" stopIfTrue="1" operator="greaterThan">
      <formula>C63</formula>
    </cfRule>
  </conditionalFormatting>
  <conditionalFormatting sqref="D17">
    <cfRule type="cellIs" dxfId="53" priority="8" stopIfTrue="1" operator="greaterThan">
      <formula>0.06</formula>
    </cfRule>
  </conditionalFormatting>
  <conditionalFormatting sqref="D18">
    <cfRule type="cellIs" dxfId="52" priority="9" stopIfTrue="1" operator="greaterThan">
      <formula>0.02</formula>
    </cfRule>
  </conditionalFormatting>
  <conditionalFormatting sqref="E73:F73 C73">
    <cfRule type="cellIs" dxfId="51" priority="11" stopIfTrue="1" operator="greaterThan">
      <formula>1</formula>
    </cfRule>
  </conditionalFormatting>
  <conditionalFormatting sqref="E75:F75">
    <cfRule type="cellIs" dxfId="50" priority="12" stopIfTrue="1" operator="greaterThan">
      <formula>1.3</formula>
    </cfRule>
  </conditionalFormatting>
  <conditionalFormatting sqref="D19">
    <cfRule type="cellIs" dxfId="49" priority="13" stopIfTrue="1" operator="greaterThan">
      <formula>0.08</formula>
    </cfRule>
  </conditionalFormatting>
  <conditionalFormatting sqref="D51">
    <cfRule type="cellIs" dxfId="48" priority="14" stopIfTrue="1" operator="notEqual">
      <formula>$C$51</formula>
    </cfRule>
  </conditionalFormatting>
  <conditionalFormatting sqref="D64">
    <cfRule type="cellIs" dxfId="47" priority="15" stopIfTrue="1" operator="greaterThan">
      <formula>$C$64</formula>
    </cfRule>
  </conditionalFormatting>
  <conditionalFormatting sqref="D22">
    <cfRule type="cellIs" dxfId="46" priority="16" stopIfTrue="1" operator="greaterThan">
      <formula>0.03</formula>
    </cfRule>
  </conditionalFormatting>
  <conditionalFormatting sqref="D20">
    <cfRule type="cellIs" dxfId="45" priority="17" stopIfTrue="1" operator="greaterThan">
      <formula>0.05</formula>
    </cfRule>
  </conditionalFormatting>
  <conditionalFormatting sqref="C11">
    <cfRule type="cellIs" dxfId="44" priority="18" stopIfTrue="1" operator="lessThan">
      <formula>$E$11</formula>
    </cfRule>
  </conditionalFormatting>
  <conditionalFormatting sqref="C12">
    <cfRule type="cellIs" dxfId="43" priority="19" stopIfTrue="1" operator="lessThan">
      <formula>$E$12+$F$12</formula>
    </cfRule>
  </conditionalFormatting>
  <conditionalFormatting sqref="C13">
    <cfRule type="cellIs" dxfId="42" priority="20" stopIfTrue="1" operator="lessThan">
      <formula>$E$13+$F$13</formula>
    </cfRule>
  </conditionalFormatting>
  <conditionalFormatting sqref="C14">
    <cfRule type="cellIs" dxfId="41" priority="21" stopIfTrue="1" operator="lessThan">
      <formula>$E$14+$F$14</formula>
    </cfRule>
  </conditionalFormatting>
  <conditionalFormatting sqref="C15">
    <cfRule type="cellIs" dxfId="40" priority="22" stopIfTrue="1" operator="lessThan">
      <formula>$E$15+$F$15</formula>
    </cfRule>
  </conditionalFormatting>
  <conditionalFormatting sqref="C16">
    <cfRule type="cellIs" dxfId="39" priority="23" stopIfTrue="1" operator="lessThan">
      <formula>$E$16+$F$16</formula>
    </cfRule>
  </conditionalFormatting>
  <conditionalFormatting sqref="C17">
    <cfRule type="cellIs" dxfId="38" priority="24" stopIfTrue="1" operator="lessThan">
      <formula>$E$17+$F$17</formula>
    </cfRule>
  </conditionalFormatting>
  <conditionalFormatting sqref="C18">
    <cfRule type="cellIs" dxfId="37" priority="25" stopIfTrue="1" operator="lessThan">
      <formula>$E$18+$F$18</formula>
    </cfRule>
  </conditionalFormatting>
  <conditionalFormatting sqref="C19">
    <cfRule type="cellIs" dxfId="36" priority="26" stopIfTrue="1" operator="lessThan">
      <formula>$E$19+$F$19</formula>
    </cfRule>
  </conditionalFormatting>
  <conditionalFormatting sqref="C20">
    <cfRule type="cellIs" dxfId="35" priority="27" stopIfTrue="1" operator="lessThan">
      <formula>$E$20+$F$20</formula>
    </cfRule>
  </conditionalFormatting>
  <conditionalFormatting sqref="C21">
    <cfRule type="cellIs" dxfId="34" priority="28" stopIfTrue="1" operator="lessThan">
      <formula>$E$21+$F$21</formula>
    </cfRule>
  </conditionalFormatting>
  <conditionalFormatting sqref="C22">
    <cfRule type="cellIs" dxfId="33" priority="29" stopIfTrue="1" operator="lessThan">
      <formula>$E$22+$F$22</formula>
    </cfRule>
  </conditionalFormatting>
  <conditionalFormatting sqref="C25">
    <cfRule type="cellIs" dxfId="32" priority="30" stopIfTrue="1" operator="lessThan">
      <formula>$E$25+$F$25</formula>
    </cfRule>
  </conditionalFormatting>
  <conditionalFormatting sqref="C26">
    <cfRule type="cellIs" dxfId="31" priority="31" stopIfTrue="1" operator="lessThan">
      <formula>$E$26+$F$26</formula>
    </cfRule>
  </conditionalFormatting>
  <conditionalFormatting sqref="C27">
    <cfRule type="cellIs" dxfId="30" priority="32" stopIfTrue="1" operator="lessThan">
      <formula>$E$27+$F$27</formula>
    </cfRule>
  </conditionalFormatting>
  <conditionalFormatting sqref="C28">
    <cfRule type="cellIs" dxfId="29" priority="33" stopIfTrue="1" operator="lessThan">
      <formula>$E$28+$F$28</formula>
    </cfRule>
  </conditionalFormatting>
  <conditionalFormatting sqref="C29">
    <cfRule type="cellIs" dxfId="28" priority="34" stopIfTrue="1" operator="lessThan">
      <formula>$E$29+$F$29</formula>
    </cfRule>
  </conditionalFormatting>
  <conditionalFormatting sqref="C30">
    <cfRule type="cellIs" dxfId="27" priority="35" stopIfTrue="1" operator="lessThan">
      <formula>$E$30+$F$30</formula>
    </cfRule>
  </conditionalFormatting>
  <conditionalFormatting sqref="C31">
    <cfRule type="cellIs" dxfId="26" priority="36" stopIfTrue="1" operator="lessThan">
      <formula>$E$31+$F$31</formula>
    </cfRule>
  </conditionalFormatting>
  <conditionalFormatting sqref="C32">
    <cfRule type="cellIs" dxfId="25" priority="37" stopIfTrue="1" operator="lessThan">
      <formula>$E$32+$F$32</formula>
    </cfRule>
  </conditionalFormatting>
  <conditionalFormatting sqref="C33">
    <cfRule type="cellIs" dxfId="24" priority="38" stopIfTrue="1" operator="lessThan">
      <formula>$E$33+$F$33</formula>
    </cfRule>
  </conditionalFormatting>
  <conditionalFormatting sqref="C34">
    <cfRule type="cellIs" dxfId="23" priority="39" stopIfTrue="1" operator="lessThan">
      <formula>$E$34+$F$34</formula>
    </cfRule>
  </conditionalFormatting>
  <conditionalFormatting sqref="C42">
    <cfRule type="cellIs" dxfId="22" priority="40" stopIfTrue="1" operator="lessThan">
      <formula>$E$42+$F$42</formula>
    </cfRule>
  </conditionalFormatting>
  <conditionalFormatting sqref="C43">
    <cfRule type="cellIs" dxfId="21" priority="41" stopIfTrue="1" operator="lessThan">
      <formula>$E$43+$F$43</formula>
    </cfRule>
  </conditionalFormatting>
  <conditionalFormatting sqref="C45:C47">
    <cfRule type="cellIs" dxfId="20" priority="42" stopIfTrue="1" operator="lessThan">
      <formula>$E$45+$F$45</formula>
    </cfRule>
  </conditionalFormatting>
  <conditionalFormatting sqref="C48">
    <cfRule type="cellIs" dxfId="19" priority="43" stopIfTrue="1" operator="lessThan">
      <formula>$E$48+$F$48</formula>
    </cfRule>
  </conditionalFormatting>
  <conditionalFormatting sqref="C53">
    <cfRule type="cellIs" dxfId="18" priority="44" stopIfTrue="1" operator="lessThan">
      <formula>$E$53+$F$53</formula>
    </cfRule>
  </conditionalFormatting>
  <conditionalFormatting sqref="C54">
    <cfRule type="cellIs" dxfId="17" priority="45" stopIfTrue="1" operator="lessThan">
      <formula>$E$54+$F$54</formula>
    </cfRule>
  </conditionalFormatting>
  <conditionalFormatting sqref="C57">
    <cfRule type="cellIs" dxfId="16" priority="48" stopIfTrue="1" operator="lessThan">
      <formula>$E$57+$F$57</formula>
    </cfRule>
  </conditionalFormatting>
  <conditionalFormatting sqref="D45">
    <cfRule type="cellIs" dxfId="15" priority="50" stopIfTrue="1" operator="notEqual">
      <formula>C45</formula>
    </cfRule>
  </conditionalFormatting>
  <conditionalFormatting sqref="C23">
    <cfRule type="cellIs" dxfId="14" priority="6" stopIfTrue="1" operator="lessThan">
      <formula>$E$23+$F$23</formula>
    </cfRule>
  </conditionalFormatting>
  <conditionalFormatting sqref="C58">
    <cfRule type="cellIs" dxfId="13" priority="5" stopIfTrue="1" operator="lessThan">
      <formula>$E$58+$F$58</formula>
    </cfRule>
  </conditionalFormatting>
  <conditionalFormatting sqref="D55">
    <cfRule type="cellIs" dxfId="12" priority="3" stopIfTrue="1" operator="lessThan">
      <formula>$C$55</formula>
    </cfRule>
  </conditionalFormatting>
  <conditionalFormatting sqref="C55">
    <cfRule type="cellIs" dxfId="11" priority="2" operator="lessThan">
      <formula>$E$55+$F$55</formula>
    </cfRule>
  </conditionalFormatting>
  <conditionalFormatting sqref="C56">
    <cfRule type="cellIs" dxfId="10" priority="1" operator="lessThan">
      <formula>$E$56+$F$56</formula>
    </cfRule>
  </conditionalFormatting>
  <dataValidations count="1">
    <dataValidation type="list" allowBlank="1" showInputMessage="1" showErrorMessage="1" sqref="D6">
      <formula1>$H$7:$H$11</formula1>
    </dataValidation>
  </dataValidations>
  <printOptions horizontalCentered="1"/>
  <pageMargins left="0.5" right="0.5" top="0.75" bottom="0.75" header="0.5" footer="0.5"/>
  <pageSetup scale="53" orientation="portrait" r:id="rId1"/>
  <headerFooter alignWithMargins="0"/>
  <ignoredErrors>
    <ignoredError sqref="C74 F68 C84"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B2:J44"/>
  <sheetViews>
    <sheetView showGridLines="0" showRowColHeaders="0" zoomScale="75" workbookViewId="0">
      <selection activeCell="C9" sqref="C9"/>
    </sheetView>
  </sheetViews>
  <sheetFormatPr defaultRowHeight="18.75" customHeight="1" x14ac:dyDescent="0.25"/>
  <cols>
    <col min="1" max="1" width="4.7109375" style="209" customWidth="1"/>
    <col min="2" max="2" width="37.7109375" style="209" customWidth="1"/>
    <col min="3" max="3" width="16.7109375" style="209" customWidth="1"/>
    <col min="4" max="4" width="9.140625" style="209"/>
    <col min="5" max="5" width="10.7109375" style="209" customWidth="1"/>
    <col min="6" max="6" width="10.85546875" style="209" customWidth="1"/>
    <col min="7" max="7" width="10.7109375" style="209" customWidth="1"/>
    <col min="8" max="8" width="10.85546875" style="209" customWidth="1"/>
    <col min="9" max="9" width="5.5703125" style="209" customWidth="1"/>
    <col min="10" max="10" width="14.85546875" style="209" customWidth="1"/>
    <col min="11" max="16384" width="9.140625" style="209"/>
  </cols>
  <sheetData>
    <row r="2" spans="2:8" ht="18.75" customHeight="1" x14ac:dyDescent="0.3">
      <c r="B2" s="400" t="s">
        <v>55</v>
      </c>
      <c r="C2" s="400"/>
      <c r="D2" s="400"/>
      <c r="E2" s="400"/>
      <c r="F2" s="400"/>
      <c r="G2" s="400"/>
      <c r="H2" s="400"/>
    </row>
    <row r="3" spans="2:8" ht="18.75" customHeight="1" x14ac:dyDescent="0.3">
      <c r="B3" s="224"/>
      <c r="C3" s="224"/>
      <c r="D3" s="224"/>
      <c r="E3" s="224"/>
      <c r="F3" s="224"/>
      <c r="G3" s="224"/>
      <c r="H3" s="224"/>
    </row>
    <row r="4" spans="2:8" ht="18.75" customHeight="1" x14ac:dyDescent="0.25">
      <c r="B4" s="208" t="s">
        <v>0</v>
      </c>
    </row>
    <row r="5" spans="2:8" ht="18.75" customHeight="1" x14ac:dyDescent="0.25">
      <c r="B5" s="210" t="str">
        <f>IF(Costs!B6="","",Costs!B6)</f>
        <v/>
      </c>
      <c r="C5" s="211"/>
      <c r="F5" s="212" t="s">
        <v>37</v>
      </c>
      <c r="G5" s="210" t="str">
        <f>IF(Costs!F6="","",Costs!F6)</f>
        <v/>
      </c>
    </row>
    <row r="6" spans="2:8" ht="18.75" customHeight="1" x14ac:dyDescent="0.25">
      <c r="B6" s="213"/>
      <c r="C6" s="211"/>
      <c r="F6" s="212"/>
      <c r="G6" s="213"/>
    </row>
    <row r="8" spans="2:8" ht="30.75" customHeight="1" x14ac:dyDescent="0.25">
      <c r="B8" s="85" t="s">
        <v>56</v>
      </c>
      <c r="C8" s="228" t="s">
        <v>57</v>
      </c>
      <c r="D8" s="229" t="s">
        <v>58</v>
      </c>
      <c r="E8" s="228" t="s">
        <v>11</v>
      </c>
      <c r="F8" s="228" t="s">
        <v>59</v>
      </c>
      <c r="G8" s="230" t="s">
        <v>60</v>
      </c>
      <c r="H8" s="228" t="s">
        <v>417</v>
      </c>
    </row>
    <row r="9" spans="2:8" ht="18.75" customHeight="1" x14ac:dyDescent="0.25">
      <c r="B9" s="86" t="s">
        <v>61</v>
      </c>
      <c r="C9" s="57"/>
      <c r="D9" s="160">
        <f t="shared" ref="D9:D25" si="0">IF($C$27=0,0,C9/$C$27)</f>
        <v>0</v>
      </c>
      <c r="E9" s="269"/>
      <c r="F9" s="158"/>
      <c r="G9" s="158"/>
      <c r="H9" s="334"/>
    </row>
    <row r="10" spans="2:8" ht="18.75" customHeight="1" x14ac:dyDescent="0.25">
      <c r="B10" s="86" t="s">
        <v>62</v>
      </c>
      <c r="C10" s="57"/>
      <c r="D10" s="160">
        <f t="shared" si="0"/>
        <v>0</v>
      </c>
      <c r="E10" s="269"/>
      <c r="F10" s="158"/>
      <c r="G10" s="158"/>
      <c r="H10" s="335"/>
    </row>
    <row r="11" spans="2:8" ht="18.75" customHeight="1" x14ac:dyDescent="0.25">
      <c r="B11" s="88" t="s">
        <v>63</v>
      </c>
      <c r="C11" s="57"/>
      <c r="D11" s="160">
        <f t="shared" si="0"/>
        <v>0</v>
      </c>
      <c r="E11" s="269"/>
      <c r="F11" s="158"/>
      <c r="G11" s="158"/>
      <c r="H11" s="335"/>
    </row>
    <row r="12" spans="2:8" ht="18.75" customHeight="1" x14ac:dyDescent="0.25">
      <c r="B12" s="88" t="s">
        <v>64</v>
      </c>
      <c r="C12" s="57"/>
      <c r="D12" s="160">
        <f t="shared" si="0"/>
        <v>0</v>
      </c>
      <c r="E12" s="269"/>
      <c r="F12" s="158"/>
      <c r="G12" s="158"/>
      <c r="H12" s="335"/>
    </row>
    <row r="13" spans="2:8" ht="18.75" customHeight="1" x14ac:dyDescent="0.25">
      <c r="B13" s="88" t="s">
        <v>65</v>
      </c>
      <c r="C13" s="57"/>
      <c r="D13" s="160">
        <f t="shared" si="0"/>
        <v>0</v>
      </c>
      <c r="E13" s="269"/>
      <c r="F13" s="158"/>
      <c r="G13" s="158"/>
      <c r="H13" s="335"/>
    </row>
    <row r="14" spans="2:8" ht="18.75" customHeight="1" x14ac:dyDescent="0.25">
      <c r="B14" s="89" t="s">
        <v>66</v>
      </c>
      <c r="C14" s="57"/>
      <c r="D14" s="160">
        <f t="shared" si="0"/>
        <v>0</v>
      </c>
      <c r="E14" s="269"/>
      <c r="F14" s="158"/>
      <c r="G14" s="158"/>
      <c r="H14" s="336"/>
    </row>
    <row r="15" spans="2:8" ht="18.75" customHeight="1" x14ac:dyDescent="0.25">
      <c r="B15" s="89" t="s">
        <v>335</v>
      </c>
      <c r="C15" s="57"/>
      <c r="D15" s="160">
        <f t="shared" si="0"/>
        <v>0</v>
      </c>
      <c r="E15" s="269"/>
      <c r="F15" s="158"/>
      <c r="G15" s="158"/>
      <c r="H15" s="87"/>
    </row>
    <row r="16" spans="2:8" ht="18.75" customHeight="1" x14ac:dyDescent="0.25">
      <c r="B16" s="89" t="s">
        <v>335</v>
      </c>
      <c r="C16" s="57"/>
      <c r="D16" s="160">
        <f t="shared" si="0"/>
        <v>0</v>
      </c>
      <c r="E16" s="269"/>
      <c r="F16" s="158"/>
      <c r="G16" s="158"/>
      <c r="H16" s="87"/>
    </row>
    <row r="17" spans="2:10" ht="18.75" customHeight="1" x14ac:dyDescent="0.25">
      <c r="B17" s="89" t="s">
        <v>335</v>
      </c>
      <c r="C17" s="57"/>
      <c r="D17" s="160">
        <f t="shared" si="0"/>
        <v>0</v>
      </c>
      <c r="E17" s="269"/>
      <c r="F17" s="158"/>
      <c r="G17" s="158"/>
      <c r="H17" s="87"/>
    </row>
    <row r="18" spans="2:10" ht="18.75" customHeight="1" x14ac:dyDescent="0.25">
      <c r="B18" s="88" t="s">
        <v>345</v>
      </c>
      <c r="C18" s="57"/>
      <c r="D18" s="160">
        <f t="shared" si="0"/>
        <v>0</v>
      </c>
      <c r="E18" s="269"/>
      <c r="F18" s="158"/>
      <c r="G18" s="158"/>
      <c r="H18" s="87"/>
    </row>
    <row r="19" spans="2:10" ht="18.75" customHeight="1" x14ac:dyDescent="0.25">
      <c r="B19" s="88" t="s">
        <v>67</v>
      </c>
      <c r="C19" s="57"/>
      <c r="D19" s="160">
        <f t="shared" si="0"/>
        <v>0</v>
      </c>
      <c r="E19" s="270">
        <v>0</v>
      </c>
      <c r="F19" s="159">
        <v>30</v>
      </c>
      <c r="G19" s="159">
        <v>30</v>
      </c>
      <c r="H19" s="349"/>
    </row>
    <row r="20" spans="2:10" ht="18.75" customHeight="1" x14ac:dyDescent="0.25">
      <c r="B20" s="90" t="s">
        <v>68</v>
      </c>
      <c r="C20" s="71"/>
      <c r="D20" s="161">
        <f t="shared" si="0"/>
        <v>0</v>
      </c>
      <c r="E20" s="337"/>
      <c r="F20" s="338"/>
      <c r="G20" s="338"/>
      <c r="H20" s="340"/>
    </row>
    <row r="21" spans="2:10" ht="18.75" customHeight="1" x14ac:dyDescent="0.25">
      <c r="B21" s="90" t="s">
        <v>337</v>
      </c>
      <c r="C21" s="71"/>
      <c r="D21" s="161">
        <f t="shared" si="0"/>
        <v>0</v>
      </c>
      <c r="E21" s="339"/>
      <c r="F21" s="219"/>
      <c r="G21" s="219"/>
      <c r="H21" s="340"/>
    </row>
    <row r="22" spans="2:10" ht="18.75" customHeight="1" x14ac:dyDescent="0.25">
      <c r="B22" s="88" t="s">
        <v>69</v>
      </c>
      <c r="C22" s="57"/>
      <c r="D22" s="161">
        <f t="shared" si="0"/>
        <v>0</v>
      </c>
      <c r="E22" s="339"/>
      <c r="F22" s="341"/>
      <c r="G22" s="341"/>
      <c r="H22" s="342"/>
    </row>
    <row r="23" spans="2:10" ht="18.75" customHeight="1" x14ac:dyDescent="0.25">
      <c r="B23" s="88" t="s">
        <v>70</v>
      </c>
      <c r="C23" s="57"/>
      <c r="D23" s="161">
        <f t="shared" si="0"/>
        <v>0</v>
      </c>
      <c r="E23" s="339"/>
      <c r="F23" s="341"/>
      <c r="G23" s="341"/>
      <c r="H23" s="342"/>
      <c r="J23" s="214"/>
    </row>
    <row r="24" spans="2:10" ht="18.75" customHeight="1" x14ac:dyDescent="0.25">
      <c r="B24" s="88" t="s">
        <v>71</v>
      </c>
      <c r="C24" s="57"/>
      <c r="D24" s="161">
        <f t="shared" si="0"/>
        <v>0</v>
      </c>
      <c r="E24" s="339"/>
      <c r="F24" s="219"/>
      <c r="G24" s="219"/>
      <c r="H24" s="340"/>
    </row>
    <row r="25" spans="2:10" ht="18.75" customHeight="1" x14ac:dyDescent="0.25">
      <c r="B25" s="91" t="s">
        <v>72</v>
      </c>
      <c r="C25" s="72"/>
      <c r="D25" s="161">
        <f t="shared" si="0"/>
        <v>0</v>
      </c>
      <c r="E25" s="343"/>
      <c r="F25" s="344"/>
      <c r="G25" s="344"/>
      <c r="H25" s="345"/>
    </row>
    <row r="26" spans="2:10" ht="18.75" customHeight="1" x14ac:dyDescent="0.25">
      <c r="B26" s="266" t="s">
        <v>73</v>
      </c>
      <c r="C26" s="73"/>
      <c r="D26" s="161">
        <f>IF($C$26=0,0,C26/$C$27)</f>
        <v>0</v>
      </c>
      <c r="E26" s="343"/>
      <c r="F26" s="344"/>
      <c r="G26" s="344"/>
      <c r="H26" s="345"/>
    </row>
    <row r="27" spans="2:10" ht="18.75" customHeight="1" x14ac:dyDescent="0.25">
      <c r="B27" s="92" t="s">
        <v>74</v>
      </c>
      <c r="C27" s="215">
        <f>SUM(C9:C26)</f>
        <v>0</v>
      </c>
      <c r="D27" s="160">
        <f>SUM(D9:D26)</f>
        <v>0</v>
      </c>
      <c r="E27" s="346"/>
      <c r="F27" s="347"/>
      <c r="G27" s="347"/>
      <c r="H27" s="348"/>
    </row>
    <row r="28" spans="2:10" ht="18.75" customHeight="1" x14ac:dyDescent="0.25">
      <c r="B28" s="216" t="str">
        <f>IF(C28="","",IF(C28&gt;0, "Additional funds needed to balance","Reduce sources to balance"))</f>
        <v/>
      </c>
      <c r="C28" s="217" t="str">
        <f>IF(Costs!C82-Sources!C27=0,"",Costs!C82-Sources!C27)</f>
        <v/>
      </c>
    </row>
    <row r="29" spans="2:10" ht="18.75" customHeight="1" x14ac:dyDescent="0.25">
      <c r="B29" s="218" t="s">
        <v>403</v>
      </c>
    </row>
    <row r="30" spans="2:10" ht="18.75" customHeight="1" x14ac:dyDescent="0.25">
      <c r="E30" s="268" t="str">
        <f>IF(C21&lt;&gt;C35,"Explain why actual equity differs from calculated equity","")</f>
        <v/>
      </c>
    </row>
    <row r="31" spans="2:10" ht="18.75" customHeight="1" x14ac:dyDescent="0.25">
      <c r="B31" s="401" t="s">
        <v>342</v>
      </c>
      <c r="C31" s="401"/>
      <c r="E31" s="402"/>
      <c r="F31" s="403"/>
      <c r="G31" s="403"/>
      <c r="H31" s="404"/>
    </row>
    <row r="32" spans="2:10" ht="18.75" customHeight="1" x14ac:dyDescent="0.25">
      <c r="B32" s="231" t="s">
        <v>343</v>
      </c>
      <c r="C32" s="232">
        <f>('Credit Info'!L53+'Credit Info'!M53)</f>
        <v>0</v>
      </c>
      <c r="E32" s="405"/>
      <c r="F32" s="406"/>
      <c r="G32" s="406"/>
      <c r="H32" s="407"/>
    </row>
    <row r="33" spans="2:8" ht="18.75" customHeight="1" x14ac:dyDescent="0.25">
      <c r="B33" s="231" t="s">
        <v>336</v>
      </c>
      <c r="C33" s="235"/>
      <c r="E33" s="405"/>
      <c r="F33" s="406"/>
      <c r="G33" s="406"/>
      <c r="H33" s="407"/>
    </row>
    <row r="34" spans="2:8" ht="18.75" customHeight="1" x14ac:dyDescent="0.25">
      <c r="B34" s="231" t="s">
        <v>339</v>
      </c>
      <c r="C34" s="236"/>
      <c r="E34" s="405"/>
      <c r="F34" s="406"/>
      <c r="G34" s="406"/>
      <c r="H34" s="407"/>
    </row>
    <row r="35" spans="2:8" ht="18.75" customHeight="1" x14ac:dyDescent="0.25">
      <c r="B35" s="231" t="s">
        <v>338</v>
      </c>
      <c r="C35" s="232" t="str">
        <f>IF(C32&gt;0,ROUND(C32*10*C33*C34,0),"")</f>
        <v/>
      </c>
      <c r="E35" s="408"/>
      <c r="F35" s="409"/>
      <c r="G35" s="409"/>
      <c r="H35" s="410"/>
    </row>
    <row r="37" spans="2:8" ht="18.75" customHeight="1" x14ac:dyDescent="0.25">
      <c r="B37" s="209" t="s">
        <v>397</v>
      </c>
    </row>
    <row r="38" spans="2:8" ht="18.75" customHeight="1" x14ac:dyDescent="0.25">
      <c r="B38" s="411"/>
      <c r="C38" s="412"/>
      <c r="D38" s="412"/>
      <c r="E38" s="412"/>
      <c r="F38" s="412"/>
      <c r="G38" s="412"/>
      <c r="H38" s="413"/>
    </row>
    <row r="39" spans="2:8" ht="18.75" customHeight="1" x14ac:dyDescent="0.25">
      <c r="B39" s="414"/>
      <c r="C39" s="415"/>
      <c r="D39" s="415"/>
      <c r="E39" s="415"/>
      <c r="F39" s="415"/>
      <c r="G39" s="415"/>
      <c r="H39" s="416"/>
    </row>
    <row r="40" spans="2:8" ht="18.75" customHeight="1" x14ac:dyDescent="0.25">
      <c r="B40" s="414"/>
      <c r="C40" s="415"/>
      <c r="D40" s="415"/>
      <c r="E40" s="415"/>
      <c r="F40" s="415"/>
      <c r="G40" s="415"/>
      <c r="H40" s="416"/>
    </row>
    <row r="41" spans="2:8" ht="18.75" customHeight="1" x14ac:dyDescent="0.25">
      <c r="B41" s="414"/>
      <c r="C41" s="415"/>
      <c r="D41" s="415"/>
      <c r="E41" s="415"/>
      <c r="F41" s="415"/>
      <c r="G41" s="415"/>
      <c r="H41" s="416"/>
    </row>
    <row r="42" spans="2:8" ht="18.75" customHeight="1" x14ac:dyDescent="0.25">
      <c r="B42" s="414"/>
      <c r="C42" s="415"/>
      <c r="D42" s="415"/>
      <c r="E42" s="415"/>
      <c r="F42" s="415"/>
      <c r="G42" s="415"/>
      <c r="H42" s="416"/>
    </row>
    <row r="43" spans="2:8" ht="18.75" customHeight="1" x14ac:dyDescent="0.25">
      <c r="B43" s="414"/>
      <c r="C43" s="415"/>
      <c r="D43" s="415"/>
      <c r="E43" s="415"/>
      <c r="F43" s="415"/>
      <c r="G43" s="415"/>
      <c r="H43" s="416"/>
    </row>
    <row r="44" spans="2:8" ht="18.75" customHeight="1" x14ac:dyDescent="0.25">
      <c r="B44" s="417"/>
      <c r="C44" s="418"/>
      <c r="D44" s="418"/>
      <c r="E44" s="418"/>
      <c r="F44" s="418"/>
      <c r="G44" s="418"/>
      <c r="H44" s="419"/>
    </row>
  </sheetData>
  <sheetProtection password="92B0" sheet="1" objects="1" scenarios="1" selectLockedCells="1"/>
  <mergeCells count="4">
    <mergeCell ref="B2:H2"/>
    <mergeCell ref="B31:C31"/>
    <mergeCell ref="E31:H35"/>
    <mergeCell ref="B38:H44"/>
  </mergeCells>
  <phoneticPr fontId="2" type="noConversion"/>
  <conditionalFormatting sqref="C28">
    <cfRule type="cellIs" dxfId="9" priority="1" stopIfTrue="1" operator="notEqual">
      <formula>0</formula>
    </cfRule>
  </conditionalFormatting>
  <printOptions horizontalCentered="1"/>
  <pageMargins left="0.75" right="0.75" top="1" bottom="1" header="0.5" footer="0.5"/>
  <pageSetup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N57"/>
  <sheetViews>
    <sheetView showGridLines="0" showRowColHeaders="0" workbookViewId="0">
      <selection activeCell="D7" sqref="D7"/>
    </sheetView>
  </sheetViews>
  <sheetFormatPr defaultRowHeight="12.75" x14ac:dyDescent="0.2"/>
  <cols>
    <col min="1" max="1" width="4.7109375" style="4" customWidth="1"/>
    <col min="2" max="2" width="12.7109375" style="4" customWidth="1"/>
    <col min="3" max="3" width="31.7109375" style="4" customWidth="1"/>
    <col min="4" max="7" width="10.7109375" style="4" customWidth="1"/>
    <col min="8" max="8" width="10.140625" style="4" customWidth="1"/>
    <col min="9" max="9" width="10.85546875" style="4" customWidth="1"/>
    <col min="10" max="10" width="10.7109375" style="4" customWidth="1"/>
    <col min="11" max="11" width="9.140625" style="4"/>
    <col min="12" max="14" width="10.7109375" style="4" customWidth="1"/>
    <col min="15" max="16384" width="9.140625" style="4"/>
  </cols>
  <sheetData>
    <row r="2" spans="2:13" ht="18.75" x14ac:dyDescent="0.3">
      <c r="B2" s="424" t="s">
        <v>331</v>
      </c>
      <c r="C2" s="424"/>
      <c r="D2" s="424"/>
      <c r="E2" s="424"/>
      <c r="F2" s="424"/>
      <c r="G2" s="424"/>
      <c r="H2" s="424"/>
      <c r="I2" s="424"/>
      <c r="J2" s="424"/>
      <c r="K2" s="424"/>
      <c r="L2" s="424"/>
      <c r="M2" s="424"/>
    </row>
    <row r="3" spans="2:13" ht="12.75" customHeight="1" x14ac:dyDescent="0.3">
      <c r="B3" s="37"/>
      <c r="C3" s="37"/>
      <c r="D3" s="37"/>
      <c r="E3" s="37"/>
      <c r="F3" s="37"/>
      <c r="G3" s="37"/>
      <c r="H3" s="37"/>
      <c r="I3" s="37"/>
      <c r="J3" s="37"/>
      <c r="K3" s="37"/>
      <c r="L3" s="37"/>
      <c r="M3" s="37"/>
    </row>
    <row r="5" spans="2:13" x14ac:dyDescent="0.2">
      <c r="B5" s="1" t="s">
        <v>0</v>
      </c>
      <c r="C5" s="237" t="str">
        <f>IF(Costs!B6="","",Costs!B6)</f>
        <v/>
      </c>
      <c r="D5" s="3"/>
      <c r="J5" s="427" t="s">
        <v>37</v>
      </c>
      <c r="K5" s="427"/>
      <c r="L5" s="238" t="str">
        <f>IF(Costs!F6="","",Costs!F6)</f>
        <v/>
      </c>
    </row>
    <row r="6" spans="2:13" x14ac:dyDescent="0.2">
      <c r="B6" s="5"/>
      <c r="E6" s="25"/>
    </row>
    <row r="7" spans="2:13" x14ac:dyDescent="0.2">
      <c r="B7" s="1"/>
      <c r="D7" s="239" t="s">
        <v>28</v>
      </c>
      <c r="E7" s="4" t="s">
        <v>326</v>
      </c>
      <c r="G7" s="36"/>
      <c r="H7" s="36"/>
      <c r="I7" s="36"/>
      <c r="J7" s="36"/>
      <c r="K7" s="36"/>
      <c r="L7" s="36"/>
      <c r="M7" s="18" t="s">
        <v>28</v>
      </c>
    </row>
    <row r="8" spans="2:13" x14ac:dyDescent="0.2">
      <c r="E8" s="6"/>
      <c r="F8" s="35"/>
      <c r="G8" s="31"/>
      <c r="H8" s="31"/>
      <c r="I8" s="31"/>
      <c r="J8" s="31"/>
      <c r="K8" s="31"/>
      <c r="L8" s="31"/>
      <c r="M8" s="18" t="s">
        <v>29</v>
      </c>
    </row>
    <row r="9" spans="2:13" x14ac:dyDescent="0.2">
      <c r="B9" s="99"/>
      <c r="C9" s="100" t="s">
        <v>2</v>
      </c>
      <c r="D9" s="425" t="s">
        <v>9</v>
      </c>
      <c r="E9" s="426"/>
      <c r="F9" s="425" t="s">
        <v>3</v>
      </c>
      <c r="G9" s="426"/>
      <c r="H9" s="99" t="s">
        <v>12</v>
      </c>
      <c r="I9" s="425" t="s">
        <v>4</v>
      </c>
      <c r="J9" s="426"/>
      <c r="K9" s="100" t="s">
        <v>6</v>
      </c>
      <c r="L9" s="425" t="s">
        <v>5</v>
      </c>
      <c r="M9" s="426"/>
    </row>
    <row r="10" spans="2:13" x14ac:dyDescent="0.2">
      <c r="B10" s="9" t="s">
        <v>1</v>
      </c>
      <c r="C10" s="233" t="s">
        <v>341</v>
      </c>
      <c r="D10" s="9" t="s">
        <v>7</v>
      </c>
      <c r="E10" s="9" t="s">
        <v>8</v>
      </c>
      <c r="F10" s="9" t="s">
        <v>7</v>
      </c>
      <c r="G10" s="9" t="s">
        <v>8</v>
      </c>
      <c r="H10" s="10" t="s">
        <v>13</v>
      </c>
      <c r="I10" s="9" t="s">
        <v>7</v>
      </c>
      <c r="J10" s="9" t="s">
        <v>8</v>
      </c>
      <c r="K10" s="7" t="s">
        <v>11</v>
      </c>
      <c r="L10" s="11" t="s">
        <v>7</v>
      </c>
      <c r="M10" s="12" t="s">
        <v>10</v>
      </c>
    </row>
    <row r="11" spans="2:13" x14ac:dyDescent="0.2">
      <c r="B11" s="98"/>
      <c r="C11" s="98"/>
      <c r="D11" s="13"/>
      <c r="E11" s="13"/>
      <c r="F11" s="14"/>
      <c r="G11" s="14"/>
      <c r="H11" s="26" t="str">
        <f t="shared" ref="H11:H52" si="0">IF(B11="","",IF($D$7="","",IF(E11&gt;0,"100%",IF(G11&gt;0,"100%",IF($D$7="","",IF($D$7="No","100%","130%"))))))</f>
        <v/>
      </c>
      <c r="I11" s="15" t="str">
        <f>IF(H11="","",IF(F11="","",IF(H11=100,F11*H11,ROUND(F11*H11,0))))</f>
        <v/>
      </c>
      <c r="J11" s="15" t="str">
        <f>IF(H11="","",IF(G11&gt;0,G11*H11,""))</f>
        <v/>
      </c>
      <c r="K11" s="359"/>
      <c r="L11" s="16" t="str">
        <f>IF(E11&gt;0,"",IF(G11&gt;0,"",IF(H11="","",IF(F11=0,"",IF(D11="","",ROUND(I11*K11,0))))))</f>
        <v/>
      </c>
      <c r="M11" s="15" t="str">
        <f>IF(D11&gt;0,"",IF(F11&gt;0,"",IF(G11=0,"",IF(J11="","",IF(E11="","",ROUND(J11*K11,0))))))</f>
        <v/>
      </c>
    </row>
    <row r="12" spans="2:13" x14ac:dyDescent="0.2">
      <c r="B12" s="98"/>
      <c r="C12" s="98"/>
      <c r="D12" s="13"/>
      <c r="E12" s="13"/>
      <c r="F12" s="14"/>
      <c r="G12" s="14"/>
      <c r="H12" s="26" t="str">
        <f t="shared" si="0"/>
        <v/>
      </c>
      <c r="I12" s="15" t="str">
        <f t="shared" ref="I12:I52" si="1">IF(H12="","",IF(F12="","",IF(H12=100,F12*H12,ROUND(F12*H12,0))))</f>
        <v/>
      </c>
      <c r="J12" s="15" t="str">
        <f t="shared" ref="J12:J52" si="2">IF(H12="","",IF(G12&gt;0,G12*H12,""))</f>
        <v/>
      </c>
      <c r="K12" s="359"/>
      <c r="L12" s="16" t="str">
        <f t="shared" ref="L12:L52" si="3">IF(E12&gt;0,"",IF(G12&gt;0,"",IF(H12="","",IF(F12=0,"",IF(D12="","",ROUND(I12*K12,0))))))</f>
        <v/>
      </c>
      <c r="M12" s="15" t="str">
        <f t="shared" ref="M12:M52" si="4">IF(D12&gt;0,"",IF(F12&gt;0,"",IF(G12=0,"",IF(J12="","",IF(E12="","",ROUND(J12*K12,0))))))</f>
        <v/>
      </c>
    </row>
    <row r="13" spans="2:13" x14ac:dyDescent="0.2">
      <c r="B13" s="98"/>
      <c r="C13" s="98"/>
      <c r="D13" s="13"/>
      <c r="E13" s="13"/>
      <c r="F13" s="14"/>
      <c r="G13" s="14"/>
      <c r="H13" s="26" t="str">
        <f t="shared" si="0"/>
        <v/>
      </c>
      <c r="I13" s="15" t="str">
        <f t="shared" si="1"/>
        <v/>
      </c>
      <c r="J13" s="15" t="str">
        <f t="shared" si="2"/>
        <v/>
      </c>
      <c r="K13" s="359"/>
      <c r="L13" s="16" t="str">
        <f t="shared" si="3"/>
        <v/>
      </c>
      <c r="M13" s="15" t="str">
        <f t="shared" si="4"/>
        <v/>
      </c>
    </row>
    <row r="14" spans="2:13" x14ac:dyDescent="0.2">
      <c r="B14" s="98"/>
      <c r="C14" s="98"/>
      <c r="D14" s="13"/>
      <c r="E14" s="13"/>
      <c r="F14" s="14"/>
      <c r="G14" s="14"/>
      <c r="H14" s="26" t="str">
        <f t="shared" si="0"/>
        <v/>
      </c>
      <c r="I14" s="15" t="str">
        <f t="shared" si="1"/>
        <v/>
      </c>
      <c r="J14" s="15" t="str">
        <f t="shared" si="2"/>
        <v/>
      </c>
      <c r="K14" s="359"/>
      <c r="L14" s="16" t="str">
        <f t="shared" si="3"/>
        <v/>
      </c>
      <c r="M14" s="15" t="str">
        <f t="shared" si="4"/>
        <v/>
      </c>
    </row>
    <row r="15" spans="2:13" x14ac:dyDescent="0.2">
      <c r="B15" s="98"/>
      <c r="C15" s="98"/>
      <c r="D15" s="13"/>
      <c r="E15" s="13"/>
      <c r="F15" s="14"/>
      <c r="G15" s="14"/>
      <c r="H15" s="26" t="str">
        <f t="shared" si="0"/>
        <v/>
      </c>
      <c r="I15" s="15" t="str">
        <f t="shared" si="1"/>
        <v/>
      </c>
      <c r="J15" s="15" t="str">
        <f t="shared" si="2"/>
        <v/>
      </c>
      <c r="K15" s="359"/>
      <c r="L15" s="16" t="str">
        <f t="shared" si="3"/>
        <v/>
      </c>
      <c r="M15" s="15" t="str">
        <f t="shared" si="4"/>
        <v/>
      </c>
    </row>
    <row r="16" spans="2:13" x14ac:dyDescent="0.2">
      <c r="B16" s="98"/>
      <c r="C16" s="98"/>
      <c r="D16" s="13"/>
      <c r="E16" s="13"/>
      <c r="F16" s="14"/>
      <c r="G16" s="14"/>
      <c r="H16" s="26" t="str">
        <f t="shared" si="0"/>
        <v/>
      </c>
      <c r="I16" s="15" t="str">
        <f t="shared" si="1"/>
        <v/>
      </c>
      <c r="J16" s="15" t="str">
        <f t="shared" si="2"/>
        <v/>
      </c>
      <c r="K16" s="359"/>
      <c r="L16" s="16" t="str">
        <f t="shared" si="3"/>
        <v/>
      </c>
      <c r="M16" s="15" t="str">
        <f t="shared" si="4"/>
        <v/>
      </c>
    </row>
    <row r="17" spans="2:13" x14ac:dyDescent="0.2">
      <c r="B17" s="98"/>
      <c r="C17" s="98"/>
      <c r="D17" s="13"/>
      <c r="E17" s="13"/>
      <c r="F17" s="14"/>
      <c r="G17" s="14"/>
      <c r="H17" s="26" t="str">
        <f t="shared" si="0"/>
        <v/>
      </c>
      <c r="I17" s="15" t="str">
        <f t="shared" si="1"/>
        <v/>
      </c>
      <c r="J17" s="15" t="str">
        <f t="shared" si="2"/>
        <v/>
      </c>
      <c r="K17" s="359"/>
      <c r="L17" s="16" t="str">
        <f t="shared" si="3"/>
        <v/>
      </c>
      <c r="M17" s="15" t="str">
        <f t="shared" si="4"/>
        <v/>
      </c>
    </row>
    <row r="18" spans="2:13" x14ac:dyDescent="0.2">
      <c r="B18" s="98"/>
      <c r="C18" s="98"/>
      <c r="D18" s="13"/>
      <c r="E18" s="13"/>
      <c r="F18" s="14"/>
      <c r="G18" s="14"/>
      <c r="H18" s="26" t="str">
        <f t="shared" si="0"/>
        <v/>
      </c>
      <c r="I18" s="15" t="str">
        <f t="shared" si="1"/>
        <v/>
      </c>
      <c r="J18" s="15" t="str">
        <f t="shared" si="2"/>
        <v/>
      </c>
      <c r="K18" s="359"/>
      <c r="L18" s="16" t="str">
        <f t="shared" si="3"/>
        <v/>
      </c>
      <c r="M18" s="15" t="str">
        <f t="shared" si="4"/>
        <v/>
      </c>
    </row>
    <row r="19" spans="2:13" x14ac:dyDescent="0.2">
      <c r="B19" s="98"/>
      <c r="C19" s="98"/>
      <c r="D19" s="13"/>
      <c r="E19" s="13"/>
      <c r="F19" s="14"/>
      <c r="G19" s="14"/>
      <c r="H19" s="26" t="str">
        <f t="shared" si="0"/>
        <v/>
      </c>
      <c r="I19" s="15" t="str">
        <f t="shared" si="1"/>
        <v/>
      </c>
      <c r="J19" s="15" t="str">
        <f t="shared" si="2"/>
        <v/>
      </c>
      <c r="K19" s="359"/>
      <c r="L19" s="16" t="str">
        <f t="shared" si="3"/>
        <v/>
      </c>
      <c r="M19" s="15" t="str">
        <f t="shared" si="4"/>
        <v/>
      </c>
    </row>
    <row r="20" spans="2:13" x14ac:dyDescent="0.2">
      <c r="B20" s="98"/>
      <c r="C20" s="98"/>
      <c r="D20" s="13"/>
      <c r="E20" s="13"/>
      <c r="F20" s="14"/>
      <c r="G20" s="14"/>
      <c r="H20" s="26" t="str">
        <f t="shared" si="0"/>
        <v/>
      </c>
      <c r="I20" s="15" t="str">
        <f t="shared" si="1"/>
        <v/>
      </c>
      <c r="J20" s="15" t="str">
        <f t="shared" si="2"/>
        <v/>
      </c>
      <c r="K20" s="359"/>
      <c r="L20" s="16" t="str">
        <f t="shared" si="3"/>
        <v/>
      </c>
      <c r="M20" s="15" t="str">
        <f t="shared" si="4"/>
        <v/>
      </c>
    </row>
    <row r="21" spans="2:13" x14ac:dyDescent="0.2">
      <c r="B21" s="98"/>
      <c r="C21" s="98"/>
      <c r="D21" s="13"/>
      <c r="E21" s="13"/>
      <c r="F21" s="14"/>
      <c r="G21" s="14"/>
      <c r="H21" s="26" t="str">
        <f t="shared" si="0"/>
        <v/>
      </c>
      <c r="I21" s="15" t="str">
        <f t="shared" si="1"/>
        <v/>
      </c>
      <c r="J21" s="15" t="str">
        <f t="shared" si="2"/>
        <v/>
      </c>
      <c r="K21" s="359"/>
      <c r="L21" s="16" t="str">
        <f t="shared" si="3"/>
        <v/>
      </c>
      <c r="M21" s="15" t="str">
        <f t="shared" si="4"/>
        <v/>
      </c>
    </row>
    <row r="22" spans="2:13" x14ac:dyDescent="0.2">
      <c r="B22" s="98"/>
      <c r="C22" s="98"/>
      <c r="D22" s="13"/>
      <c r="E22" s="13"/>
      <c r="F22" s="14"/>
      <c r="G22" s="14"/>
      <c r="H22" s="26" t="str">
        <f t="shared" si="0"/>
        <v/>
      </c>
      <c r="I22" s="15" t="str">
        <f t="shared" si="1"/>
        <v/>
      </c>
      <c r="J22" s="15" t="str">
        <f t="shared" si="2"/>
        <v/>
      </c>
      <c r="K22" s="359"/>
      <c r="L22" s="16" t="str">
        <f t="shared" si="3"/>
        <v/>
      </c>
      <c r="M22" s="15" t="str">
        <f t="shared" si="4"/>
        <v/>
      </c>
    </row>
    <row r="23" spans="2:13" x14ac:dyDescent="0.2">
      <c r="B23" s="98"/>
      <c r="C23" s="98"/>
      <c r="D23" s="13"/>
      <c r="E23" s="13"/>
      <c r="F23" s="14"/>
      <c r="G23" s="14"/>
      <c r="H23" s="26" t="str">
        <f t="shared" si="0"/>
        <v/>
      </c>
      <c r="I23" s="15" t="str">
        <f t="shared" si="1"/>
        <v/>
      </c>
      <c r="J23" s="15" t="str">
        <f t="shared" si="2"/>
        <v/>
      </c>
      <c r="K23" s="359"/>
      <c r="L23" s="16" t="str">
        <f t="shared" si="3"/>
        <v/>
      </c>
      <c r="M23" s="15" t="str">
        <f t="shared" si="4"/>
        <v/>
      </c>
    </row>
    <row r="24" spans="2:13" x14ac:dyDescent="0.2">
      <c r="B24" s="98"/>
      <c r="C24" s="98"/>
      <c r="D24" s="13"/>
      <c r="E24" s="13"/>
      <c r="F24" s="14"/>
      <c r="G24" s="14"/>
      <c r="H24" s="26" t="str">
        <f t="shared" si="0"/>
        <v/>
      </c>
      <c r="I24" s="15" t="str">
        <f t="shared" si="1"/>
        <v/>
      </c>
      <c r="J24" s="15" t="str">
        <f t="shared" si="2"/>
        <v/>
      </c>
      <c r="K24" s="359"/>
      <c r="L24" s="16" t="str">
        <f t="shared" si="3"/>
        <v/>
      </c>
      <c r="M24" s="15" t="str">
        <f t="shared" si="4"/>
        <v/>
      </c>
    </row>
    <row r="25" spans="2:13" x14ac:dyDescent="0.2">
      <c r="B25" s="98"/>
      <c r="C25" s="98"/>
      <c r="D25" s="13"/>
      <c r="E25" s="13"/>
      <c r="F25" s="14"/>
      <c r="G25" s="14"/>
      <c r="H25" s="26" t="str">
        <f t="shared" si="0"/>
        <v/>
      </c>
      <c r="I25" s="15" t="str">
        <f t="shared" si="1"/>
        <v/>
      </c>
      <c r="J25" s="15" t="str">
        <f t="shared" si="2"/>
        <v/>
      </c>
      <c r="K25" s="359"/>
      <c r="L25" s="16" t="str">
        <f t="shared" si="3"/>
        <v/>
      </c>
      <c r="M25" s="15" t="str">
        <f t="shared" si="4"/>
        <v/>
      </c>
    </row>
    <row r="26" spans="2:13" x14ac:dyDescent="0.2">
      <c r="B26" s="98"/>
      <c r="C26" s="98"/>
      <c r="D26" s="13"/>
      <c r="E26" s="13"/>
      <c r="F26" s="14"/>
      <c r="G26" s="14"/>
      <c r="H26" s="26" t="str">
        <f t="shared" si="0"/>
        <v/>
      </c>
      <c r="I26" s="15" t="str">
        <f t="shared" si="1"/>
        <v/>
      </c>
      <c r="J26" s="15" t="str">
        <f t="shared" si="2"/>
        <v/>
      </c>
      <c r="K26" s="359"/>
      <c r="L26" s="16" t="str">
        <f t="shared" si="3"/>
        <v/>
      </c>
      <c r="M26" s="15" t="str">
        <f t="shared" si="4"/>
        <v/>
      </c>
    </row>
    <row r="27" spans="2:13" x14ac:dyDescent="0.2">
      <c r="B27" s="98"/>
      <c r="C27" s="98"/>
      <c r="D27" s="13"/>
      <c r="E27" s="13"/>
      <c r="F27" s="14"/>
      <c r="G27" s="14"/>
      <c r="H27" s="26" t="str">
        <f t="shared" si="0"/>
        <v/>
      </c>
      <c r="I27" s="15" t="str">
        <f t="shared" si="1"/>
        <v/>
      </c>
      <c r="J27" s="15" t="str">
        <f t="shared" si="2"/>
        <v/>
      </c>
      <c r="K27" s="359"/>
      <c r="L27" s="16" t="str">
        <f t="shared" si="3"/>
        <v/>
      </c>
      <c r="M27" s="15" t="str">
        <f t="shared" si="4"/>
        <v/>
      </c>
    </row>
    <row r="28" spans="2:13" x14ac:dyDescent="0.2">
      <c r="B28" s="98"/>
      <c r="C28" s="98"/>
      <c r="D28" s="13"/>
      <c r="E28" s="13"/>
      <c r="F28" s="14"/>
      <c r="G28" s="14"/>
      <c r="H28" s="26" t="str">
        <f t="shared" si="0"/>
        <v/>
      </c>
      <c r="I28" s="15" t="str">
        <f t="shared" si="1"/>
        <v/>
      </c>
      <c r="J28" s="15" t="str">
        <f t="shared" si="2"/>
        <v/>
      </c>
      <c r="K28" s="359"/>
      <c r="L28" s="16" t="str">
        <f t="shared" si="3"/>
        <v/>
      </c>
      <c r="M28" s="15" t="str">
        <f t="shared" si="4"/>
        <v/>
      </c>
    </row>
    <row r="29" spans="2:13" x14ac:dyDescent="0.2">
      <c r="B29" s="98"/>
      <c r="C29" s="98"/>
      <c r="D29" s="13"/>
      <c r="E29" s="13"/>
      <c r="F29" s="14"/>
      <c r="G29" s="14"/>
      <c r="H29" s="26" t="str">
        <f t="shared" si="0"/>
        <v/>
      </c>
      <c r="I29" s="15" t="str">
        <f t="shared" si="1"/>
        <v/>
      </c>
      <c r="J29" s="15" t="str">
        <f t="shared" si="2"/>
        <v/>
      </c>
      <c r="K29" s="359"/>
      <c r="L29" s="16" t="str">
        <f t="shared" si="3"/>
        <v/>
      </c>
      <c r="M29" s="15" t="str">
        <f t="shared" si="4"/>
        <v/>
      </c>
    </row>
    <row r="30" spans="2:13" x14ac:dyDescent="0.2">
      <c r="B30" s="98"/>
      <c r="C30" s="98"/>
      <c r="D30" s="13"/>
      <c r="E30" s="13"/>
      <c r="F30" s="14"/>
      <c r="G30" s="14"/>
      <c r="H30" s="26" t="str">
        <f t="shared" si="0"/>
        <v/>
      </c>
      <c r="I30" s="15" t="str">
        <f t="shared" si="1"/>
        <v/>
      </c>
      <c r="J30" s="15" t="str">
        <f t="shared" si="2"/>
        <v/>
      </c>
      <c r="K30" s="359"/>
      <c r="L30" s="16" t="str">
        <f t="shared" si="3"/>
        <v/>
      </c>
      <c r="M30" s="15" t="str">
        <f t="shared" si="4"/>
        <v/>
      </c>
    </row>
    <row r="31" spans="2:13" x14ac:dyDescent="0.2">
      <c r="B31" s="98"/>
      <c r="C31" s="98"/>
      <c r="D31" s="13"/>
      <c r="E31" s="13"/>
      <c r="F31" s="14"/>
      <c r="G31" s="14"/>
      <c r="H31" s="26" t="str">
        <f t="shared" si="0"/>
        <v/>
      </c>
      <c r="I31" s="15" t="str">
        <f t="shared" si="1"/>
        <v/>
      </c>
      <c r="J31" s="15" t="str">
        <f t="shared" si="2"/>
        <v/>
      </c>
      <c r="K31" s="359"/>
      <c r="L31" s="16" t="str">
        <f t="shared" si="3"/>
        <v/>
      </c>
      <c r="M31" s="15" t="str">
        <f t="shared" si="4"/>
        <v/>
      </c>
    </row>
    <row r="32" spans="2:13" x14ac:dyDescent="0.2">
      <c r="B32" s="98"/>
      <c r="C32" s="98"/>
      <c r="D32" s="13"/>
      <c r="E32" s="13"/>
      <c r="F32" s="14"/>
      <c r="G32" s="14"/>
      <c r="H32" s="26" t="str">
        <f t="shared" si="0"/>
        <v/>
      </c>
      <c r="I32" s="15" t="str">
        <f t="shared" si="1"/>
        <v/>
      </c>
      <c r="J32" s="15" t="str">
        <f t="shared" si="2"/>
        <v/>
      </c>
      <c r="K32" s="359"/>
      <c r="L32" s="16" t="str">
        <f t="shared" si="3"/>
        <v/>
      </c>
      <c r="M32" s="15" t="str">
        <f t="shared" si="4"/>
        <v/>
      </c>
    </row>
    <row r="33" spans="2:13" x14ac:dyDescent="0.2">
      <c r="B33" s="98"/>
      <c r="C33" s="98"/>
      <c r="D33" s="13"/>
      <c r="E33" s="13"/>
      <c r="F33" s="14"/>
      <c r="G33" s="14"/>
      <c r="H33" s="26" t="str">
        <f t="shared" si="0"/>
        <v/>
      </c>
      <c r="I33" s="15" t="str">
        <f t="shared" si="1"/>
        <v/>
      </c>
      <c r="J33" s="15" t="str">
        <f t="shared" si="2"/>
        <v/>
      </c>
      <c r="K33" s="359"/>
      <c r="L33" s="16" t="str">
        <f t="shared" si="3"/>
        <v/>
      </c>
      <c r="M33" s="15" t="str">
        <f t="shared" si="4"/>
        <v/>
      </c>
    </row>
    <row r="34" spans="2:13" x14ac:dyDescent="0.2">
      <c r="B34" s="98"/>
      <c r="C34" s="98"/>
      <c r="D34" s="13"/>
      <c r="E34" s="13"/>
      <c r="F34" s="14"/>
      <c r="G34" s="14"/>
      <c r="H34" s="26" t="str">
        <f t="shared" si="0"/>
        <v/>
      </c>
      <c r="I34" s="15" t="str">
        <f t="shared" si="1"/>
        <v/>
      </c>
      <c r="J34" s="15" t="str">
        <f t="shared" si="2"/>
        <v/>
      </c>
      <c r="K34" s="359"/>
      <c r="L34" s="16" t="str">
        <f t="shared" si="3"/>
        <v/>
      </c>
      <c r="M34" s="15" t="str">
        <f t="shared" si="4"/>
        <v/>
      </c>
    </row>
    <row r="35" spans="2:13" x14ac:dyDescent="0.2">
      <c r="B35" s="98"/>
      <c r="C35" s="98"/>
      <c r="D35" s="13"/>
      <c r="E35" s="13"/>
      <c r="F35" s="14"/>
      <c r="G35" s="14"/>
      <c r="H35" s="26" t="str">
        <f t="shared" si="0"/>
        <v/>
      </c>
      <c r="I35" s="15" t="str">
        <f t="shared" si="1"/>
        <v/>
      </c>
      <c r="J35" s="15" t="str">
        <f t="shared" si="2"/>
        <v/>
      </c>
      <c r="K35" s="359"/>
      <c r="L35" s="16" t="str">
        <f t="shared" si="3"/>
        <v/>
      </c>
      <c r="M35" s="15" t="str">
        <f t="shared" si="4"/>
        <v/>
      </c>
    </row>
    <row r="36" spans="2:13" x14ac:dyDescent="0.2">
      <c r="B36" s="98"/>
      <c r="C36" s="98"/>
      <c r="D36" s="13"/>
      <c r="E36" s="13"/>
      <c r="F36" s="14"/>
      <c r="G36" s="14"/>
      <c r="H36" s="26" t="str">
        <f t="shared" si="0"/>
        <v/>
      </c>
      <c r="I36" s="15" t="str">
        <f t="shared" si="1"/>
        <v/>
      </c>
      <c r="J36" s="15" t="str">
        <f t="shared" si="2"/>
        <v/>
      </c>
      <c r="K36" s="359"/>
      <c r="L36" s="16" t="str">
        <f t="shared" si="3"/>
        <v/>
      </c>
      <c r="M36" s="15" t="str">
        <f t="shared" si="4"/>
        <v/>
      </c>
    </row>
    <row r="37" spans="2:13" x14ac:dyDescent="0.2">
      <c r="B37" s="98"/>
      <c r="C37" s="98"/>
      <c r="D37" s="13"/>
      <c r="E37" s="13"/>
      <c r="F37" s="14"/>
      <c r="G37" s="14"/>
      <c r="H37" s="26" t="str">
        <f t="shared" si="0"/>
        <v/>
      </c>
      <c r="I37" s="15" t="str">
        <f t="shared" si="1"/>
        <v/>
      </c>
      <c r="J37" s="15" t="str">
        <f t="shared" si="2"/>
        <v/>
      </c>
      <c r="K37" s="359"/>
      <c r="L37" s="16" t="str">
        <f t="shared" si="3"/>
        <v/>
      </c>
      <c r="M37" s="15" t="str">
        <f t="shared" si="4"/>
        <v/>
      </c>
    </row>
    <row r="38" spans="2:13" x14ac:dyDescent="0.2">
      <c r="B38" s="98"/>
      <c r="C38" s="98"/>
      <c r="D38" s="13"/>
      <c r="E38" s="13"/>
      <c r="F38" s="14"/>
      <c r="G38" s="14"/>
      <c r="H38" s="26" t="str">
        <f t="shared" si="0"/>
        <v/>
      </c>
      <c r="I38" s="15" t="str">
        <f t="shared" si="1"/>
        <v/>
      </c>
      <c r="J38" s="15" t="str">
        <f t="shared" si="2"/>
        <v/>
      </c>
      <c r="K38" s="359"/>
      <c r="L38" s="16" t="str">
        <f t="shared" si="3"/>
        <v/>
      </c>
      <c r="M38" s="15" t="str">
        <f t="shared" si="4"/>
        <v/>
      </c>
    </row>
    <row r="39" spans="2:13" x14ac:dyDescent="0.2">
      <c r="B39" s="98"/>
      <c r="C39" s="98"/>
      <c r="D39" s="13"/>
      <c r="E39" s="13"/>
      <c r="F39" s="14"/>
      <c r="G39" s="14"/>
      <c r="H39" s="26" t="str">
        <f t="shared" si="0"/>
        <v/>
      </c>
      <c r="I39" s="15" t="str">
        <f t="shared" si="1"/>
        <v/>
      </c>
      <c r="J39" s="15" t="str">
        <f t="shared" si="2"/>
        <v/>
      </c>
      <c r="K39" s="359"/>
      <c r="L39" s="16" t="str">
        <f t="shared" si="3"/>
        <v/>
      </c>
      <c r="M39" s="15" t="str">
        <f t="shared" si="4"/>
        <v/>
      </c>
    </row>
    <row r="40" spans="2:13" x14ac:dyDescent="0.2">
      <c r="B40" s="98"/>
      <c r="C40" s="98"/>
      <c r="D40" s="13"/>
      <c r="E40" s="13"/>
      <c r="F40" s="14"/>
      <c r="G40" s="14"/>
      <c r="H40" s="26" t="str">
        <f t="shared" si="0"/>
        <v/>
      </c>
      <c r="I40" s="15" t="str">
        <f t="shared" si="1"/>
        <v/>
      </c>
      <c r="J40" s="15" t="str">
        <f t="shared" si="2"/>
        <v/>
      </c>
      <c r="K40" s="359"/>
      <c r="L40" s="16" t="str">
        <f t="shared" si="3"/>
        <v/>
      </c>
      <c r="M40" s="15" t="str">
        <f t="shared" si="4"/>
        <v/>
      </c>
    </row>
    <row r="41" spans="2:13" x14ac:dyDescent="0.2">
      <c r="B41" s="98"/>
      <c r="C41" s="98"/>
      <c r="D41" s="13"/>
      <c r="E41" s="13"/>
      <c r="F41" s="14"/>
      <c r="G41" s="14"/>
      <c r="H41" s="26" t="str">
        <f t="shared" si="0"/>
        <v/>
      </c>
      <c r="I41" s="15" t="str">
        <f t="shared" si="1"/>
        <v/>
      </c>
      <c r="J41" s="15" t="str">
        <f t="shared" si="2"/>
        <v/>
      </c>
      <c r="K41" s="359"/>
      <c r="L41" s="16" t="str">
        <f t="shared" si="3"/>
        <v/>
      </c>
      <c r="M41" s="15" t="str">
        <f t="shared" si="4"/>
        <v/>
      </c>
    </row>
    <row r="42" spans="2:13" x14ac:dyDescent="0.2">
      <c r="B42" s="98"/>
      <c r="C42" s="98"/>
      <c r="D42" s="13"/>
      <c r="E42" s="13"/>
      <c r="F42" s="14"/>
      <c r="G42" s="14"/>
      <c r="H42" s="26" t="str">
        <f t="shared" si="0"/>
        <v/>
      </c>
      <c r="I42" s="15" t="str">
        <f t="shared" si="1"/>
        <v/>
      </c>
      <c r="J42" s="15" t="str">
        <f t="shared" si="2"/>
        <v/>
      </c>
      <c r="K42" s="359"/>
      <c r="L42" s="16" t="str">
        <f t="shared" si="3"/>
        <v/>
      </c>
      <c r="M42" s="15" t="str">
        <f t="shared" si="4"/>
        <v/>
      </c>
    </row>
    <row r="43" spans="2:13" x14ac:dyDescent="0.2">
      <c r="B43" s="98"/>
      <c r="C43" s="98"/>
      <c r="D43" s="13"/>
      <c r="E43" s="13"/>
      <c r="F43" s="14"/>
      <c r="G43" s="14"/>
      <c r="H43" s="26" t="str">
        <f t="shared" si="0"/>
        <v/>
      </c>
      <c r="I43" s="15" t="str">
        <f t="shared" si="1"/>
        <v/>
      </c>
      <c r="J43" s="15" t="str">
        <f t="shared" si="2"/>
        <v/>
      </c>
      <c r="K43" s="359"/>
      <c r="L43" s="16" t="str">
        <f t="shared" si="3"/>
        <v/>
      </c>
      <c r="M43" s="15" t="str">
        <f t="shared" si="4"/>
        <v/>
      </c>
    </row>
    <row r="44" spans="2:13" x14ac:dyDescent="0.2">
      <c r="B44" s="98"/>
      <c r="C44" s="98"/>
      <c r="D44" s="13"/>
      <c r="E44" s="13"/>
      <c r="F44" s="14"/>
      <c r="G44" s="14"/>
      <c r="H44" s="26" t="str">
        <f t="shared" si="0"/>
        <v/>
      </c>
      <c r="I44" s="15" t="str">
        <f t="shared" si="1"/>
        <v/>
      </c>
      <c r="J44" s="15" t="str">
        <f t="shared" si="2"/>
        <v/>
      </c>
      <c r="K44" s="359"/>
      <c r="L44" s="16" t="str">
        <f t="shared" si="3"/>
        <v/>
      </c>
      <c r="M44" s="15" t="str">
        <f t="shared" si="4"/>
        <v/>
      </c>
    </row>
    <row r="45" spans="2:13" x14ac:dyDescent="0.2">
      <c r="B45" s="98"/>
      <c r="C45" s="98"/>
      <c r="D45" s="13"/>
      <c r="E45" s="13"/>
      <c r="F45" s="14"/>
      <c r="G45" s="14"/>
      <c r="H45" s="26" t="str">
        <f t="shared" si="0"/>
        <v/>
      </c>
      <c r="I45" s="15" t="str">
        <f t="shared" si="1"/>
        <v/>
      </c>
      <c r="J45" s="15" t="str">
        <f t="shared" si="2"/>
        <v/>
      </c>
      <c r="K45" s="359"/>
      <c r="L45" s="16" t="str">
        <f t="shared" si="3"/>
        <v/>
      </c>
      <c r="M45" s="15" t="str">
        <f t="shared" si="4"/>
        <v/>
      </c>
    </row>
    <row r="46" spans="2:13" x14ac:dyDescent="0.2">
      <c r="B46" s="98"/>
      <c r="C46" s="98"/>
      <c r="D46" s="13"/>
      <c r="E46" s="13"/>
      <c r="F46" s="14"/>
      <c r="G46" s="14"/>
      <c r="H46" s="26" t="str">
        <f t="shared" si="0"/>
        <v/>
      </c>
      <c r="I46" s="15" t="str">
        <f t="shared" si="1"/>
        <v/>
      </c>
      <c r="J46" s="15" t="str">
        <f t="shared" si="2"/>
        <v/>
      </c>
      <c r="K46" s="359"/>
      <c r="L46" s="16" t="str">
        <f t="shared" si="3"/>
        <v/>
      </c>
      <c r="M46" s="15" t="str">
        <f t="shared" si="4"/>
        <v/>
      </c>
    </row>
    <row r="47" spans="2:13" x14ac:dyDescent="0.2">
      <c r="B47" s="98"/>
      <c r="C47" s="98"/>
      <c r="D47" s="13"/>
      <c r="E47" s="13"/>
      <c r="F47" s="14"/>
      <c r="G47" s="14"/>
      <c r="H47" s="26" t="str">
        <f t="shared" si="0"/>
        <v/>
      </c>
      <c r="I47" s="15" t="str">
        <f t="shared" si="1"/>
        <v/>
      </c>
      <c r="J47" s="15" t="str">
        <f t="shared" si="2"/>
        <v/>
      </c>
      <c r="K47" s="359"/>
      <c r="L47" s="16" t="str">
        <f t="shared" si="3"/>
        <v/>
      </c>
      <c r="M47" s="15" t="str">
        <f t="shared" si="4"/>
        <v/>
      </c>
    </row>
    <row r="48" spans="2:13" x14ac:dyDescent="0.2">
      <c r="B48" s="98"/>
      <c r="C48" s="98"/>
      <c r="D48" s="13"/>
      <c r="E48" s="13"/>
      <c r="F48" s="14"/>
      <c r="G48" s="14"/>
      <c r="H48" s="26" t="str">
        <f t="shared" si="0"/>
        <v/>
      </c>
      <c r="I48" s="15" t="str">
        <f t="shared" si="1"/>
        <v/>
      </c>
      <c r="J48" s="15" t="str">
        <f t="shared" si="2"/>
        <v/>
      </c>
      <c r="K48" s="359"/>
      <c r="L48" s="16" t="str">
        <f t="shared" si="3"/>
        <v/>
      </c>
      <c r="M48" s="15" t="str">
        <f t="shared" si="4"/>
        <v/>
      </c>
    </row>
    <row r="49" spans="2:14" x14ac:dyDescent="0.2">
      <c r="B49" s="98"/>
      <c r="C49" s="98"/>
      <c r="D49" s="13"/>
      <c r="E49" s="13"/>
      <c r="F49" s="14"/>
      <c r="G49" s="14"/>
      <c r="H49" s="26" t="str">
        <f t="shared" si="0"/>
        <v/>
      </c>
      <c r="I49" s="15" t="str">
        <f t="shared" si="1"/>
        <v/>
      </c>
      <c r="J49" s="15" t="str">
        <f t="shared" si="2"/>
        <v/>
      </c>
      <c r="K49" s="359"/>
      <c r="L49" s="16" t="str">
        <f t="shared" si="3"/>
        <v/>
      </c>
      <c r="M49" s="15" t="str">
        <f t="shared" si="4"/>
        <v/>
      </c>
    </row>
    <row r="50" spans="2:14" x14ac:dyDescent="0.2">
      <c r="B50" s="98"/>
      <c r="C50" s="98"/>
      <c r="D50" s="13"/>
      <c r="E50" s="13"/>
      <c r="F50" s="14"/>
      <c r="G50" s="14"/>
      <c r="H50" s="26" t="str">
        <f t="shared" si="0"/>
        <v/>
      </c>
      <c r="I50" s="15" t="str">
        <f t="shared" si="1"/>
        <v/>
      </c>
      <c r="J50" s="15" t="str">
        <f t="shared" si="2"/>
        <v/>
      </c>
      <c r="K50" s="359"/>
      <c r="L50" s="16" t="str">
        <f t="shared" si="3"/>
        <v/>
      </c>
      <c r="M50" s="15" t="str">
        <f t="shared" si="4"/>
        <v/>
      </c>
    </row>
    <row r="51" spans="2:14" x14ac:dyDescent="0.2">
      <c r="B51" s="98"/>
      <c r="C51" s="98"/>
      <c r="D51" s="13"/>
      <c r="E51" s="13"/>
      <c r="F51" s="14"/>
      <c r="G51" s="14"/>
      <c r="H51" s="26" t="str">
        <f t="shared" si="0"/>
        <v/>
      </c>
      <c r="I51" s="15" t="str">
        <f t="shared" si="1"/>
        <v/>
      </c>
      <c r="J51" s="15" t="str">
        <f t="shared" si="2"/>
        <v/>
      </c>
      <c r="K51" s="359"/>
      <c r="L51" s="16" t="str">
        <f t="shared" si="3"/>
        <v/>
      </c>
      <c r="M51" s="15" t="str">
        <f t="shared" si="4"/>
        <v/>
      </c>
    </row>
    <row r="52" spans="2:14" x14ac:dyDescent="0.2">
      <c r="B52" s="98"/>
      <c r="C52" s="98"/>
      <c r="D52" s="13"/>
      <c r="E52" s="13"/>
      <c r="F52" s="14"/>
      <c r="G52" s="14"/>
      <c r="H52" s="26" t="str">
        <f t="shared" si="0"/>
        <v/>
      </c>
      <c r="I52" s="15" t="str">
        <f t="shared" si="1"/>
        <v/>
      </c>
      <c r="J52" s="15" t="str">
        <f t="shared" si="2"/>
        <v/>
      </c>
      <c r="K52" s="359"/>
      <c r="L52" s="16" t="str">
        <f t="shared" si="3"/>
        <v/>
      </c>
      <c r="M52" s="15" t="str">
        <f t="shared" si="4"/>
        <v/>
      </c>
    </row>
    <row r="53" spans="2:14" x14ac:dyDescent="0.2">
      <c r="B53" s="421"/>
      <c r="C53" s="421"/>
      <c r="D53" s="363"/>
      <c r="E53" s="363"/>
      <c r="F53" s="365">
        <f>SUM(F11:F52)</f>
        <v>0</v>
      </c>
      <c r="G53" s="366">
        <f>SUM(G11:G52)</f>
        <v>0</v>
      </c>
      <c r="H53" s="364"/>
      <c r="I53" s="367">
        <f>SUM(I11:I52)</f>
        <v>0</v>
      </c>
      <c r="J53" s="368">
        <f>SUM(J11:J52)</f>
        <v>0</v>
      </c>
      <c r="K53" s="154"/>
      <c r="L53" s="367">
        <f>SUM(L11:L52)</f>
        <v>0</v>
      </c>
      <c r="M53" s="366">
        <f>SUM(M11:M52)</f>
        <v>0</v>
      </c>
    </row>
    <row r="54" spans="2:14" x14ac:dyDescent="0.2">
      <c r="B54" s="20" t="s">
        <v>14</v>
      </c>
      <c r="F54" s="422">
        <f>F53+G53</f>
        <v>0</v>
      </c>
      <c r="G54" s="423"/>
      <c r="I54" s="422">
        <f>I53+J53</f>
        <v>0</v>
      </c>
      <c r="J54" s="423"/>
      <c r="L54" s="422">
        <f>L53+M53</f>
        <v>0</v>
      </c>
      <c r="M54" s="423"/>
    </row>
    <row r="55" spans="2:14" x14ac:dyDescent="0.2">
      <c r="F55" s="420" t="str">
        <f>IF(F54&lt;&gt;F57,"Does not equal Costs Total","")</f>
        <v/>
      </c>
      <c r="G55" s="420"/>
      <c r="I55" s="420" t="str">
        <f>IF(I54&lt;&gt;I57,"Does not equal Costs Total","")</f>
        <v/>
      </c>
      <c r="J55" s="420"/>
      <c r="K55" s="420" t="str">
        <f>IF(L54&gt;L57,"         Credits exceed amount Reserved","")</f>
        <v/>
      </c>
      <c r="L55" s="420"/>
      <c r="M55" s="420"/>
    </row>
    <row r="56" spans="2:14" x14ac:dyDescent="0.2">
      <c r="F56" s="420" t="str">
        <f>IF(F54&lt;&gt;F57,"Eligible Basis (Costs Page)","")</f>
        <v/>
      </c>
      <c r="G56" s="420"/>
      <c r="H56" s="154"/>
      <c r="I56" s="420" t="str">
        <f>IF(I54&lt;&gt;I57,"Qualified Basis (Costs Page)","")</f>
        <v/>
      </c>
      <c r="J56" s="420"/>
      <c r="L56" s="420" t="str">
        <f>IF(L54&gt;L57,"         (line 64 of Costs page)","")</f>
        <v/>
      </c>
      <c r="M56" s="420"/>
      <c r="N56" s="273"/>
    </row>
    <row r="57" spans="2:14" x14ac:dyDescent="0.2">
      <c r="F57" s="271">
        <f>Costs!C72</f>
        <v>0</v>
      </c>
      <c r="I57" s="272">
        <f>Costs!C76</f>
        <v>0</v>
      </c>
      <c r="L57" s="271">
        <f>Costs!C79</f>
        <v>0</v>
      </c>
    </row>
  </sheetData>
  <sheetProtection password="E205" sheet="1" objects="1" scenarios="1" selectLockedCells="1"/>
  <mergeCells count="16">
    <mergeCell ref="B2:M2"/>
    <mergeCell ref="D9:E9"/>
    <mergeCell ref="F9:G9"/>
    <mergeCell ref="L9:M9"/>
    <mergeCell ref="I9:J9"/>
    <mergeCell ref="J5:K5"/>
    <mergeCell ref="L56:M56"/>
    <mergeCell ref="B53:C53"/>
    <mergeCell ref="K55:M55"/>
    <mergeCell ref="L54:M54"/>
    <mergeCell ref="F55:G55"/>
    <mergeCell ref="I55:J55"/>
    <mergeCell ref="F56:G56"/>
    <mergeCell ref="I56:J56"/>
    <mergeCell ref="I54:J54"/>
    <mergeCell ref="F54:G54"/>
  </mergeCells>
  <phoneticPr fontId="2" type="noConversion"/>
  <conditionalFormatting sqref="L54:M54">
    <cfRule type="cellIs" dxfId="8" priority="1" stopIfTrue="1" operator="greaterThan">
      <formula>$L$57</formula>
    </cfRule>
  </conditionalFormatting>
  <conditionalFormatting sqref="F54:G54">
    <cfRule type="cellIs" dxfId="7" priority="2" stopIfTrue="1" operator="notEqual">
      <formula>$F$57</formula>
    </cfRule>
  </conditionalFormatting>
  <conditionalFormatting sqref="I54:J54">
    <cfRule type="cellIs" dxfId="6" priority="3" stopIfTrue="1" operator="notEqual">
      <formula>$I$57</formula>
    </cfRule>
  </conditionalFormatting>
  <dataValidations count="2">
    <dataValidation showInputMessage="1" showErrorMessage="1" sqref="E6"/>
    <dataValidation type="list" showInputMessage="1" showErrorMessage="1" sqref="D7">
      <formula1>$M$7:$M$8</formula1>
    </dataValidation>
  </dataValidations>
  <printOptions horizontalCentered="1"/>
  <pageMargins left="0" right="0" top="0.75" bottom="0.5" header="0.5" footer="0.5"/>
  <pageSetup paperSize="0" scale="72" orientation="landscape" r:id="rId1"/>
  <headerFooter alignWithMargins="0"/>
  <ignoredErrors>
    <ignoredError sqref="C5 L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L53"/>
  <sheetViews>
    <sheetView showGridLines="0" showRowColHeaders="0" workbookViewId="0">
      <selection activeCell="D10" sqref="D10"/>
    </sheetView>
  </sheetViews>
  <sheetFormatPr defaultRowHeight="12.75" x14ac:dyDescent="0.2"/>
  <cols>
    <col min="1" max="1" width="4.7109375" style="4" customWidth="1"/>
    <col min="2" max="2" width="13.5703125" style="4" customWidth="1"/>
    <col min="3" max="3" width="31.7109375" style="4" customWidth="1"/>
    <col min="4" max="10" width="5" style="4" customWidth="1"/>
    <col min="11" max="11" width="5.85546875" style="22" bestFit="1" customWidth="1"/>
    <col min="12" max="12" width="5.85546875" style="22" customWidth="1"/>
    <col min="13" max="16384" width="9.140625" style="4"/>
  </cols>
  <sheetData>
    <row r="2" spans="2:12" ht="18.75" x14ac:dyDescent="0.3">
      <c r="B2" s="424" t="s">
        <v>327</v>
      </c>
      <c r="C2" s="424"/>
      <c r="D2" s="424"/>
      <c r="E2" s="424"/>
      <c r="F2" s="424"/>
      <c r="G2" s="424"/>
      <c r="H2" s="424"/>
      <c r="I2" s="424"/>
      <c r="J2" s="424"/>
    </row>
    <row r="3" spans="2:12" ht="12.75" customHeight="1" x14ac:dyDescent="0.3">
      <c r="B3" s="37"/>
      <c r="C3" s="37"/>
      <c r="D3" s="37"/>
      <c r="E3" s="37"/>
      <c r="F3" s="37"/>
      <c r="G3" s="37"/>
      <c r="H3" s="37"/>
      <c r="I3" s="356"/>
      <c r="J3" s="37"/>
    </row>
    <row r="5" spans="2:12" x14ac:dyDescent="0.2">
      <c r="B5" s="1" t="s">
        <v>0</v>
      </c>
      <c r="C5" s="23" t="str">
        <f>IF('Credit Info'!C5=0,"",'Credit Info'!C5)</f>
        <v/>
      </c>
      <c r="D5" s="3"/>
      <c r="E5" s="3"/>
      <c r="F5" s="427" t="s">
        <v>37</v>
      </c>
      <c r="G5" s="427"/>
      <c r="H5" s="429" t="str">
        <f>IF('Credit Info'!L5=0,"",'Credit Info'!L5)</f>
        <v/>
      </c>
      <c r="I5" s="429"/>
      <c r="J5" s="429"/>
    </row>
    <row r="7" spans="2:12" x14ac:dyDescent="0.2">
      <c r="B7" s="1"/>
      <c r="C7" s="1"/>
    </row>
    <row r="8" spans="2:12" x14ac:dyDescent="0.2">
      <c r="D8" s="425" t="s">
        <v>36</v>
      </c>
      <c r="E8" s="430"/>
      <c r="F8" s="430"/>
      <c r="G8" s="430"/>
      <c r="H8" s="430"/>
      <c r="I8" s="430"/>
      <c r="J8" s="162"/>
    </row>
    <row r="9" spans="2:12" ht="15" customHeight="1" x14ac:dyDescent="0.2">
      <c r="B9" s="12" t="s">
        <v>1</v>
      </c>
      <c r="C9" s="12" t="s">
        <v>2</v>
      </c>
      <c r="D9" s="34" t="s">
        <v>39</v>
      </c>
      <c r="E9" s="34" t="s">
        <v>252</v>
      </c>
      <c r="F9" s="34" t="s">
        <v>253</v>
      </c>
      <c r="G9" s="34" t="s">
        <v>254</v>
      </c>
      <c r="H9" s="34" t="s">
        <v>255</v>
      </c>
      <c r="I9" s="369" t="s">
        <v>556</v>
      </c>
      <c r="J9" s="102" t="s">
        <v>17</v>
      </c>
      <c r="K9" s="4"/>
      <c r="L9" s="4"/>
    </row>
    <row r="10" spans="2:12" x14ac:dyDescent="0.2">
      <c r="B10" s="101" t="str">
        <f>IF('Credit Info'!B11="","",IF('Credit Info'!G11&gt;0,"",'Credit Info'!B11))</f>
        <v/>
      </c>
      <c r="C10" s="101" t="str">
        <f>IF('Credit Info'!C11="","",IF('Credit Info'!G11&gt;0,"",'Credit Info'!C11))</f>
        <v/>
      </c>
      <c r="D10" s="98"/>
      <c r="E10" s="98"/>
      <c r="F10" s="98"/>
      <c r="G10" s="98"/>
      <c r="H10" s="98"/>
      <c r="I10" s="242"/>
      <c r="J10" s="27" t="str">
        <f>IF(B10="","",(SUM(D10:I10)))</f>
        <v/>
      </c>
      <c r="K10" s="4"/>
      <c r="L10" s="4"/>
    </row>
    <row r="11" spans="2:12" x14ac:dyDescent="0.2">
      <c r="B11" s="101" t="str">
        <f>IF('Credit Info'!B12="","",IF('Credit Info'!G12&gt;0,"",'Credit Info'!B12))</f>
        <v/>
      </c>
      <c r="C11" s="101" t="str">
        <f>IF('Credit Info'!C12="","",IF('Credit Info'!G12&gt;0,"",'Credit Info'!C12))</f>
        <v/>
      </c>
      <c r="D11" s="98"/>
      <c r="E11" s="98"/>
      <c r="F11" s="98"/>
      <c r="G11" s="98"/>
      <c r="H11" s="98"/>
      <c r="I11" s="242"/>
      <c r="J11" s="27" t="str">
        <f t="shared" ref="J11:J51" si="0">IF(B11="","",(SUM(D11:I11)))</f>
        <v/>
      </c>
      <c r="K11" s="4"/>
      <c r="L11" s="4"/>
    </row>
    <row r="12" spans="2:12" x14ac:dyDescent="0.2">
      <c r="B12" s="101" t="str">
        <f>IF('Credit Info'!B13="","",IF('Credit Info'!G13&gt;0,"",'Credit Info'!B13))</f>
        <v/>
      </c>
      <c r="C12" s="101" t="str">
        <f>IF('Credit Info'!C13="","",IF('Credit Info'!G13&gt;0,"",'Credit Info'!C13))</f>
        <v/>
      </c>
      <c r="D12" s="98"/>
      <c r="E12" s="98"/>
      <c r="F12" s="98"/>
      <c r="G12" s="98"/>
      <c r="H12" s="98"/>
      <c r="I12" s="242"/>
      <c r="J12" s="27" t="str">
        <f t="shared" si="0"/>
        <v/>
      </c>
      <c r="K12" s="4"/>
      <c r="L12" s="4"/>
    </row>
    <row r="13" spans="2:12" x14ac:dyDescent="0.2">
      <c r="B13" s="101" t="str">
        <f>IF('Credit Info'!B14="","",IF('Credit Info'!G14&gt;0,"",'Credit Info'!B14))</f>
        <v/>
      </c>
      <c r="C13" s="101" t="str">
        <f>IF('Credit Info'!C14="","",IF('Credit Info'!G14&gt;0,"",'Credit Info'!C14))</f>
        <v/>
      </c>
      <c r="D13" s="98"/>
      <c r="E13" s="98"/>
      <c r="F13" s="98"/>
      <c r="G13" s="98"/>
      <c r="H13" s="98"/>
      <c r="I13" s="242"/>
      <c r="J13" s="27" t="str">
        <f t="shared" si="0"/>
        <v/>
      </c>
      <c r="K13" s="4"/>
      <c r="L13" s="4"/>
    </row>
    <row r="14" spans="2:12" x14ac:dyDescent="0.2">
      <c r="B14" s="101" t="str">
        <f>IF('Credit Info'!B15="","",IF('Credit Info'!G15&gt;0,"",'Credit Info'!B15))</f>
        <v/>
      </c>
      <c r="C14" s="101" t="str">
        <f>IF('Credit Info'!C15="","",IF('Credit Info'!G15&gt;0,"",'Credit Info'!C15))</f>
        <v/>
      </c>
      <c r="D14" s="98"/>
      <c r="E14" s="98"/>
      <c r="F14" s="98"/>
      <c r="G14" s="98"/>
      <c r="H14" s="98"/>
      <c r="I14" s="242"/>
      <c r="J14" s="27" t="str">
        <f t="shared" si="0"/>
        <v/>
      </c>
      <c r="K14" s="4"/>
      <c r="L14" s="4"/>
    </row>
    <row r="15" spans="2:12" x14ac:dyDescent="0.2">
      <c r="B15" s="101" t="str">
        <f>IF('Credit Info'!B16="","",IF('Credit Info'!G16&gt;0,"",'Credit Info'!B16))</f>
        <v/>
      </c>
      <c r="C15" s="101" t="str">
        <f>IF('Credit Info'!C16="","",IF('Credit Info'!G16&gt;0,"",'Credit Info'!C16))</f>
        <v/>
      </c>
      <c r="D15" s="98"/>
      <c r="E15" s="98"/>
      <c r="F15" s="98"/>
      <c r="G15" s="98"/>
      <c r="H15" s="98"/>
      <c r="I15" s="242"/>
      <c r="J15" s="27" t="str">
        <f t="shared" si="0"/>
        <v/>
      </c>
      <c r="K15" s="4"/>
      <c r="L15" s="4"/>
    </row>
    <row r="16" spans="2:12" x14ac:dyDescent="0.2">
      <c r="B16" s="101" t="str">
        <f>IF('Credit Info'!B17="","",IF('Credit Info'!G17&gt;0,"",'Credit Info'!B17))</f>
        <v/>
      </c>
      <c r="C16" s="101" t="str">
        <f>IF('Credit Info'!C17="","",IF('Credit Info'!G17&gt;0,"",'Credit Info'!C17))</f>
        <v/>
      </c>
      <c r="D16" s="98"/>
      <c r="E16" s="98"/>
      <c r="F16" s="98"/>
      <c r="G16" s="98"/>
      <c r="H16" s="98"/>
      <c r="I16" s="242"/>
      <c r="J16" s="27" t="str">
        <f t="shared" si="0"/>
        <v/>
      </c>
      <c r="K16" s="4"/>
      <c r="L16" s="4"/>
    </row>
    <row r="17" spans="2:12" x14ac:dyDescent="0.2">
      <c r="B17" s="101" t="str">
        <f>IF('Credit Info'!B18="","",IF('Credit Info'!G18&gt;0,"",'Credit Info'!B18))</f>
        <v/>
      </c>
      <c r="C17" s="101" t="str">
        <f>IF('Credit Info'!C18="","",IF('Credit Info'!G18&gt;0,"",'Credit Info'!C18))</f>
        <v/>
      </c>
      <c r="D17" s="98"/>
      <c r="E17" s="98"/>
      <c r="F17" s="98"/>
      <c r="G17" s="98"/>
      <c r="H17" s="98"/>
      <c r="I17" s="242"/>
      <c r="J17" s="27" t="str">
        <f t="shared" si="0"/>
        <v/>
      </c>
      <c r="K17" s="4"/>
      <c r="L17" s="4"/>
    </row>
    <row r="18" spans="2:12" x14ac:dyDescent="0.2">
      <c r="B18" s="101" t="str">
        <f>IF('Credit Info'!B19="","",IF('Credit Info'!G19&gt;0,"",'Credit Info'!B19))</f>
        <v/>
      </c>
      <c r="C18" s="101" t="str">
        <f>IF('Credit Info'!C19="","",IF('Credit Info'!G19&gt;0,"",'Credit Info'!C19))</f>
        <v/>
      </c>
      <c r="D18" s="98"/>
      <c r="E18" s="98"/>
      <c r="F18" s="98"/>
      <c r="G18" s="98"/>
      <c r="H18" s="98"/>
      <c r="I18" s="242"/>
      <c r="J18" s="27" t="str">
        <f t="shared" si="0"/>
        <v/>
      </c>
      <c r="K18" s="4"/>
      <c r="L18" s="4"/>
    </row>
    <row r="19" spans="2:12" x14ac:dyDescent="0.2">
      <c r="B19" s="101" t="str">
        <f>IF('Credit Info'!B20="","",IF('Credit Info'!G20&gt;0,"",'Credit Info'!B20))</f>
        <v/>
      </c>
      <c r="C19" s="101" t="str">
        <f>IF('Credit Info'!C20="","",IF('Credit Info'!G20&gt;0,"",'Credit Info'!C20))</f>
        <v/>
      </c>
      <c r="D19" s="98"/>
      <c r="E19" s="98"/>
      <c r="F19" s="98"/>
      <c r="G19" s="98"/>
      <c r="H19" s="98"/>
      <c r="I19" s="242"/>
      <c r="J19" s="27" t="str">
        <f t="shared" si="0"/>
        <v/>
      </c>
      <c r="K19" s="4"/>
      <c r="L19" s="4"/>
    </row>
    <row r="20" spans="2:12" x14ac:dyDescent="0.2">
      <c r="B20" s="101" t="str">
        <f>IF('Credit Info'!B21="","",IF('Credit Info'!G21&gt;0,"",'Credit Info'!B21))</f>
        <v/>
      </c>
      <c r="C20" s="101" t="str">
        <f>IF('Credit Info'!C21="","",IF('Credit Info'!G21&gt;0,"",'Credit Info'!C21))</f>
        <v/>
      </c>
      <c r="D20" s="98"/>
      <c r="E20" s="98"/>
      <c r="F20" s="98"/>
      <c r="G20" s="98"/>
      <c r="H20" s="98"/>
      <c r="I20" s="242"/>
      <c r="J20" s="27" t="str">
        <f t="shared" si="0"/>
        <v/>
      </c>
      <c r="K20" s="4"/>
      <c r="L20" s="4"/>
    </row>
    <row r="21" spans="2:12" x14ac:dyDescent="0.2">
      <c r="B21" s="101" t="str">
        <f>IF('Credit Info'!B22="","",IF('Credit Info'!G22&gt;0,"",'Credit Info'!B22))</f>
        <v/>
      </c>
      <c r="C21" s="101" t="str">
        <f>IF('Credit Info'!C22="","",IF('Credit Info'!G22&gt;0,"",'Credit Info'!C22))</f>
        <v/>
      </c>
      <c r="D21" s="98"/>
      <c r="E21" s="98"/>
      <c r="F21" s="98"/>
      <c r="G21" s="98"/>
      <c r="H21" s="98"/>
      <c r="I21" s="242"/>
      <c r="J21" s="27" t="str">
        <f t="shared" si="0"/>
        <v/>
      </c>
      <c r="K21" s="4"/>
      <c r="L21" s="4"/>
    </row>
    <row r="22" spans="2:12" x14ac:dyDescent="0.2">
      <c r="B22" s="101" t="str">
        <f>IF('Credit Info'!B23="","",IF('Credit Info'!G23&gt;0,"",'Credit Info'!B23))</f>
        <v/>
      </c>
      <c r="C22" s="101" t="str">
        <f>IF('Credit Info'!C23="","",IF('Credit Info'!G23&gt;0,"",'Credit Info'!C23))</f>
        <v/>
      </c>
      <c r="D22" s="98"/>
      <c r="E22" s="98"/>
      <c r="F22" s="98"/>
      <c r="G22" s="98"/>
      <c r="H22" s="98"/>
      <c r="I22" s="242"/>
      <c r="J22" s="27" t="str">
        <f t="shared" si="0"/>
        <v/>
      </c>
      <c r="K22" s="4"/>
      <c r="L22" s="4"/>
    </row>
    <row r="23" spans="2:12" x14ac:dyDescent="0.2">
      <c r="B23" s="101" t="str">
        <f>IF('Credit Info'!B24="","",IF('Credit Info'!G24&gt;0,"",'Credit Info'!B24))</f>
        <v/>
      </c>
      <c r="C23" s="101" t="str">
        <f>IF('Credit Info'!C24="","",IF('Credit Info'!G24&gt;0,"",'Credit Info'!C24))</f>
        <v/>
      </c>
      <c r="D23" s="98"/>
      <c r="E23" s="98"/>
      <c r="F23" s="98"/>
      <c r="G23" s="98"/>
      <c r="H23" s="98"/>
      <c r="I23" s="242"/>
      <c r="J23" s="27" t="str">
        <f t="shared" si="0"/>
        <v/>
      </c>
      <c r="K23" s="4"/>
      <c r="L23" s="4"/>
    </row>
    <row r="24" spans="2:12" x14ac:dyDescent="0.2">
      <c r="B24" s="101" t="str">
        <f>IF('Credit Info'!B25="","",IF('Credit Info'!G25&gt;0,"",'Credit Info'!B25))</f>
        <v/>
      </c>
      <c r="C24" s="101" t="str">
        <f>IF('Credit Info'!C25="","",IF('Credit Info'!G25&gt;0,"",'Credit Info'!C25))</f>
        <v/>
      </c>
      <c r="D24" s="98"/>
      <c r="E24" s="98"/>
      <c r="F24" s="98"/>
      <c r="G24" s="98"/>
      <c r="H24" s="98"/>
      <c r="I24" s="242"/>
      <c r="J24" s="27" t="str">
        <f t="shared" si="0"/>
        <v/>
      </c>
      <c r="K24" s="4"/>
      <c r="L24" s="4"/>
    </row>
    <row r="25" spans="2:12" x14ac:dyDescent="0.2">
      <c r="B25" s="101" t="str">
        <f>IF('Credit Info'!B26="","",IF('Credit Info'!G26&gt;0,"",'Credit Info'!B26))</f>
        <v/>
      </c>
      <c r="C25" s="101" t="str">
        <f>IF('Credit Info'!C26="","",IF('Credit Info'!G26&gt;0,"",'Credit Info'!C26))</f>
        <v/>
      </c>
      <c r="D25" s="98"/>
      <c r="E25" s="98"/>
      <c r="F25" s="98"/>
      <c r="G25" s="98"/>
      <c r="H25" s="98"/>
      <c r="I25" s="242"/>
      <c r="J25" s="27" t="str">
        <f t="shared" si="0"/>
        <v/>
      </c>
      <c r="K25" s="4"/>
      <c r="L25" s="4"/>
    </row>
    <row r="26" spans="2:12" x14ac:dyDescent="0.2">
      <c r="B26" s="101" t="str">
        <f>IF('Credit Info'!B27="","",IF('Credit Info'!G27&gt;0,"",'Credit Info'!B27))</f>
        <v/>
      </c>
      <c r="C26" s="101" t="str">
        <f>IF('Credit Info'!C27="","",IF('Credit Info'!G27&gt;0,"",'Credit Info'!C27))</f>
        <v/>
      </c>
      <c r="D26" s="98"/>
      <c r="E26" s="98"/>
      <c r="F26" s="98"/>
      <c r="G26" s="98"/>
      <c r="H26" s="98"/>
      <c r="I26" s="242"/>
      <c r="J26" s="27" t="str">
        <f t="shared" si="0"/>
        <v/>
      </c>
      <c r="K26" s="4"/>
      <c r="L26" s="4"/>
    </row>
    <row r="27" spans="2:12" x14ac:dyDescent="0.2">
      <c r="B27" s="101" t="str">
        <f>IF('Credit Info'!B28="","",IF('Credit Info'!G28&gt;0,"",'Credit Info'!B28))</f>
        <v/>
      </c>
      <c r="C27" s="101" t="str">
        <f>IF('Credit Info'!C28="","",IF('Credit Info'!G28&gt;0,"",'Credit Info'!C28))</f>
        <v/>
      </c>
      <c r="D27" s="98"/>
      <c r="E27" s="98"/>
      <c r="F27" s="98"/>
      <c r="G27" s="98"/>
      <c r="H27" s="98"/>
      <c r="I27" s="242"/>
      <c r="J27" s="27" t="str">
        <f t="shared" si="0"/>
        <v/>
      </c>
      <c r="K27" s="4"/>
      <c r="L27" s="4"/>
    </row>
    <row r="28" spans="2:12" x14ac:dyDescent="0.2">
      <c r="B28" s="101" t="str">
        <f>IF('Credit Info'!B29="","",IF('Credit Info'!G29&gt;0,"",'Credit Info'!B29))</f>
        <v/>
      </c>
      <c r="C28" s="101" t="str">
        <f>IF('Credit Info'!C29="","",IF('Credit Info'!G29&gt;0,"",'Credit Info'!C29))</f>
        <v/>
      </c>
      <c r="D28" s="98"/>
      <c r="E28" s="98"/>
      <c r="F28" s="98"/>
      <c r="G28" s="98"/>
      <c r="H28" s="98"/>
      <c r="I28" s="242"/>
      <c r="J28" s="27" t="str">
        <f t="shared" si="0"/>
        <v/>
      </c>
      <c r="K28" s="4"/>
      <c r="L28" s="4"/>
    </row>
    <row r="29" spans="2:12" x14ac:dyDescent="0.2">
      <c r="B29" s="101" t="str">
        <f>IF('Credit Info'!B30="","",IF('Credit Info'!G30&gt;0,"",'Credit Info'!B30))</f>
        <v/>
      </c>
      <c r="C29" s="101" t="str">
        <f>IF('Credit Info'!C30="","",IF('Credit Info'!G30&gt;0,"",'Credit Info'!C30))</f>
        <v/>
      </c>
      <c r="D29" s="98"/>
      <c r="E29" s="98"/>
      <c r="F29" s="98"/>
      <c r="G29" s="98"/>
      <c r="H29" s="98"/>
      <c r="I29" s="242"/>
      <c r="J29" s="27" t="str">
        <f t="shared" si="0"/>
        <v/>
      </c>
      <c r="K29" s="4"/>
      <c r="L29" s="4"/>
    </row>
    <row r="30" spans="2:12" x14ac:dyDescent="0.2">
      <c r="B30" s="101" t="str">
        <f>IF('Credit Info'!B31="","",IF('Credit Info'!G31&gt;0,"",'Credit Info'!B31))</f>
        <v/>
      </c>
      <c r="C30" s="101" t="str">
        <f>IF('Credit Info'!C31="","",IF('Credit Info'!G31&gt;0,"",'Credit Info'!C31))</f>
        <v/>
      </c>
      <c r="D30" s="98"/>
      <c r="E30" s="98"/>
      <c r="F30" s="98"/>
      <c r="G30" s="98"/>
      <c r="H30" s="98"/>
      <c r="I30" s="242"/>
      <c r="J30" s="27" t="str">
        <f t="shared" si="0"/>
        <v/>
      </c>
      <c r="K30" s="4"/>
      <c r="L30" s="4"/>
    </row>
    <row r="31" spans="2:12" x14ac:dyDescent="0.2">
      <c r="B31" s="101" t="str">
        <f>IF('Credit Info'!B32="","",IF('Credit Info'!G32&gt;0,"",'Credit Info'!B32))</f>
        <v/>
      </c>
      <c r="C31" s="101" t="str">
        <f>IF('Credit Info'!C32="","",IF('Credit Info'!G32&gt;0,"",'Credit Info'!C32))</f>
        <v/>
      </c>
      <c r="D31" s="98"/>
      <c r="E31" s="98"/>
      <c r="F31" s="98"/>
      <c r="G31" s="98"/>
      <c r="H31" s="98"/>
      <c r="I31" s="242"/>
      <c r="J31" s="27" t="str">
        <f t="shared" si="0"/>
        <v/>
      </c>
      <c r="K31" s="4"/>
      <c r="L31" s="4"/>
    </row>
    <row r="32" spans="2:12" x14ac:dyDescent="0.2">
      <c r="B32" s="101" t="str">
        <f>IF('Credit Info'!B33="","",IF('Credit Info'!G33&gt;0,"",'Credit Info'!B33))</f>
        <v/>
      </c>
      <c r="C32" s="101" t="str">
        <f>IF('Credit Info'!C33="","",IF('Credit Info'!G33&gt;0,"",'Credit Info'!C33))</f>
        <v/>
      </c>
      <c r="D32" s="98"/>
      <c r="E32" s="98"/>
      <c r="F32" s="98"/>
      <c r="G32" s="98"/>
      <c r="H32" s="98"/>
      <c r="I32" s="242"/>
      <c r="J32" s="27" t="str">
        <f t="shared" si="0"/>
        <v/>
      </c>
      <c r="K32" s="4"/>
      <c r="L32" s="4"/>
    </row>
    <row r="33" spans="2:12" x14ac:dyDescent="0.2">
      <c r="B33" s="101" t="str">
        <f>IF('Credit Info'!B34="","",IF('Credit Info'!G34&gt;0,"",'Credit Info'!B34))</f>
        <v/>
      </c>
      <c r="C33" s="101" t="str">
        <f>IF('Credit Info'!C34="","",IF('Credit Info'!G34&gt;0,"",'Credit Info'!C34))</f>
        <v/>
      </c>
      <c r="D33" s="98"/>
      <c r="E33" s="98"/>
      <c r="F33" s="98"/>
      <c r="G33" s="98"/>
      <c r="H33" s="98"/>
      <c r="I33" s="242"/>
      <c r="J33" s="27" t="str">
        <f t="shared" si="0"/>
        <v/>
      </c>
      <c r="K33" s="4"/>
      <c r="L33" s="4"/>
    </row>
    <row r="34" spans="2:12" x14ac:dyDescent="0.2">
      <c r="B34" s="101" t="str">
        <f>IF('Credit Info'!B35="","",IF('Credit Info'!G35&gt;0,"",'Credit Info'!B35))</f>
        <v/>
      </c>
      <c r="C34" s="101" t="str">
        <f>IF('Credit Info'!C35="","",IF('Credit Info'!G35&gt;0,"",'Credit Info'!C35))</f>
        <v/>
      </c>
      <c r="D34" s="98"/>
      <c r="E34" s="98"/>
      <c r="F34" s="98"/>
      <c r="G34" s="98"/>
      <c r="H34" s="98"/>
      <c r="I34" s="242"/>
      <c r="J34" s="27" t="str">
        <f t="shared" si="0"/>
        <v/>
      </c>
      <c r="K34" s="4"/>
      <c r="L34" s="4"/>
    </row>
    <row r="35" spans="2:12" x14ac:dyDescent="0.2">
      <c r="B35" s="101" t="str">
        <f>IF('Credit Info'!B36="","",IF('Credit Info'!G36&gt;0,"",'Credit Info'!B36))</f>
        <v/>
      </c>
      <c r="C35" s="101" t="str">
        <f>IF('Credit Info'!C36="","",IF('Credit Info'!G36&gt;0,"",'Credit Info'!C36))</f>
        <v/>
      </c>
      <c r="D35" s="98"/>
      <c r="E35" s="98"/>
      <c r="F35" s="98"/>
      <c r="G35" s="98"/>
      <c r="H35" s="98"/>
      <c r="I35" s="242"/>
      <c r="J35" s="27" t="str">
        <f t="shared" si="0"/>
        <v/>
      </c>
      <c r="K35" s="4"/>
      <c r="L35" s="4"/>
    </row>
    <row r="36" spans="2:12" x14ac:dyDescent="0.2">
      <c r="B36" s="101" t="str">
        <f>IF('Credit Info'!B37="","",IF('Credit Info'!G37&gt;0,"",'Credit Info'!B37))</f>
        <v/>
      </c>
      <c r="C36" s="101" t="str">
        <f>IF('Credit Info'!C37="","",IF('Credit Info'!G37&gt;0,"",'Credit Info'!C37))</f>
        <v/>
      </c>
      <c r="D36" s="98"/>
      <c r="E36" s="98"/>
      <c r="F36" s="98"/>
      <c r="G36" s="98"/>
      <c r="H36" s="98"/>
      <c r="I36" s="242"/>
      <c r="J36" s="27" t="str">
        <f t="shared" si="0"/>
        <v/>
      </c>
      <c r="K36" s="4"/>
      <c r="L36" s="4"/>
    </row>
    <row r="37" spans="2:12" x14ac:dyDescent="0.2">
      <c r="B37" s="101" t="str">
        <f>IF('Credit Info'!B38="","",IF('Credit Info'!G38&gt;0,"",'Credit Info'!B38))</f>
        <v/>
      </c>
      <c r="C37" s="101" t="str">
        <f>IF('Credit Info'!C38="","",IF('Credit Info'!G38&gt;0,"",'Credit Info'!C38))</f>
        <v/>
      </c>
      <c r="D37" s="98"/>
      <c r="E37" s="98"/>
      <c r="F37" s="98"/>
      <c r="G37" s="98"/>
      <c r="H37" s="98"/>
      <c r="I37" s="242"/>
      <c r="J37" s="27" t="str">
        <f t="shared" si="0"/>
        <v/>
      </c>
      <c r="K37" s="4"/>
      <c r="L37" s="4"/>
    </row>
    <row r="38" spans="2:12" x14ac:dyDescent="0.2">
      <c r="B38" s="101" t="str">
        <f>IF('Credit Info'!B39="","",IF('Credit Info'!G39&gt;0,"",'Credit Info'!B39))</f>
        <v/>
      </c>
      <c r="C38" s="101" t="str">
        <f>IF('Credit Info'!C39="","",IF('Credit Info'!G39&gt;0,"",'Credit Info'!C39))</f>
        <v/>
      </c>
      <c r="D38" s="98"/>
      <c r="E38" s="98"/>
      <c r="F38" s="98"/>
      <c r="G38" s="98"/>
      <c r="H38" s="98"/>
      <c r="I38" s="242"/>
      <c r="J38" s="27" t="str">
        <f t="shared" si="0"/>
        <v/>
      </c>
      <c r="K38" s="4"/>
      <c r="L38" s="4"/>
    </row>
    <row r="39" spans="2:12" x14ac:dyDescent="0.2">
      <c r="B39" s="101" t="str">
        <f>IF('Credit Info'!B40="","",IF('Credit Info'!G40&gt;0,"",'Credit Info'!B40))</f>
        <v/>
      </c>
      <c r="C39" s="101" t="str">
        <f>IF('Credit Info'!C40="","",IF('Credit Info'!G40&gt;0,"",'Credit Info'!C40))</f>
        <v/>
      </c>
      <c r="D39" s="98"/>
      <c r="E39" s="98"/>
      <c r="F39" s="98"/>
      <c r="G39" s="98"/>
      <c r="H39" s="98"/>
      <c r="I39" s="242"/>
      <c r="J39" s="27" t="str">
        <f t="shared" si="0"/>
        <v/>
      </c>
      <c r="K39" s="4"/>
      <c r="L39" s="4"/>
    </row>
    <row r="40" spans="2:12" x14ac:dyDescent="0.2">
      <c r="B40" s="101" t="str">
        <f>IF('Credit Info'!B41="","",IF('Credit Info'!G41&gt;0,"",'Credit Info'!B41))</f>
        <v/>
      </c>
      <c r="C40" s="101" t="str">
        <f>IF('Credit Info'!C41="","",IF('Credit Info'!G41&gt;0,"",'Credit Info'!C41))</f>
        <v/>
      </c>
      <c r="D40" s="98"/>
      <c r="E40" s="98"/>
      <c r="F40" s="98"/>
      <c r="G40" s="98"/>
      <c r="H40" s="98"/>
      <c r="I40" s="242"/>
      <c r="J40" s="27" t="str">
        <f t="shared" si="0"/>
        <v/>
      </c>
      <c r="K40" s="4"/>
      <c r="L40" s="4"/>
    </row>
    <row r="41" spans="2:12" x14ac:dyDescent="0.2">
      <c r="B41" s="101" t="str">
        <f>IF('Credit Info'!B42="","",IF('Credit Info'!G42&gt;0,"",'Credit Info'!B42))</f>
        <v/>
      </c>
      <c r="C41" s="101" t="str">
        <f>IF('Credit Info'!C42="","",IF('Credit Info'!G42&gt;0,"",'Credit Info'!C42))</f>
        <v/>
      </c>
      <c r="D41" s="98"/>
      <c r="E41" s="98"/>
      <c r="F41" s="98"/>
      <c r="G41" s="98"/>
      <c r="H41" s="98"/>
      <c r="I41" s="242"/>
      <c r="J41" s="27" t="str">
        <f t="shared" si="0"/>
        <v/>
      </c>
      <c r="K41" s="4"/>
      <c r="L41" s="4"/>
    </row>
    <row r="42" spans="2:12" x14ac:dyDescent="0.2">
      <c r="B42" s="101" t="str">
        <f>IF('Credit Info'!B43="","",IF('Credit Info'!G43&gt;0,"",'Credit Info'!B43))</f>
        <v/>
      </c>
      <c r="C42" s="101" t="str">
        <f>IF('Credit Info'!C43="","",IF('Credit Info'!G43&gt;0,"",'Credit Info'!C43))</f>
        <v/>
      </c>
      <c r="D42" s="98"/>
      <c r="E42" s="98"/>
      <c r="F42" s="98"/>
      <c r="G42" s="98"/>
      <c r="H42" s="98"/>
      <c r="I42" s="242"/>
      <c r="J42" s="27" t="str">
        <f t="shared" si="0"/>
        <v/>
      </c>
      <c r="K42" s="4"/>
      <c r="L42" s="4"/>
    </row>
    <row r="43" spans="2:12" x14ac:dyDescent="0.2">
      <c r="B43" s="101" t="str">
        <f>IF('Credit Info'!B44="","",IF('Credit Info'!G44&gt;0,"",'Credit Info'!B44))</f>
        <v/>
      </c>
      <c r="C43" s="101" t="str">
        <f>IF('Credit Info'!C44="","",IF('Credit Info'!G44&gt;0,"",'Credit Info'!C44))</f>
        <v/>
      </c>
      <c r="D43" s="98"/>
      <c r="E43" s="98"/>
      <c r="F43" s="98"/>
      <c r="G43" s="98"/>
      <c r="H43" s="98"/>
      <c r="I43" s="242"/>
      <c r="J43" s="27" t="str">
        <f t="shared" si="0"/>
        <v/>
      </c>
      <c r="K43" s="4"/>
      <c r="L43" s="4"/>
    </row>
    <row r="44" spans="2:12" x14ac:dyDescent="0.2">
      <c r="B44" s="101" t="str">
        <f>IF('Credit Info'!B45="","",IF('Credit Info'!G45&gt;0,"",'Credit Info'!B45))</f>
        <v/>
      </c>
      <c r="C44" s="101" t="str">
        <f>IF('Credit Info'!C45="","",IF('Credit Info'!G45&gt;0,"",'Credit Info'!C45))</f>
        <v/>
      </c>
      <c r="D44" s="98"/>
      <c r="E44" s="98"/>
      <c r="F44" s="98"/>
      <c r="G44" s="98"/>
      <c r="H44" s="98"/>
      <c r="I44" s="242"/>
      <c r="J44" s="27" t="str">
        <f t="shared" si="0"/>
        <v/>
      </c>
      <c r="K44" s="4"/>
      <c r="L44" s="4"/>
    </row>
    <row r="45" spans="2:12" x14ac:dyDescent="0.2">
      <c r="B45" s="101" t="str">
        <f>IF('Credit Info'!B46="","",IF('Credit Info'!G46&gt;0,"",'Credit Info'!B46))</f>
        <v/>
      </c>
      <c r="C45" s="101" t="str">
        <f>IF('Credit Info'!C46="","",IF('Credit Info'!G46&gt;0,"",'Credit Info'!C46))</f>
        <v/>
      </c>
      <c r="D45" s="98"/>
      <c r="E45" s="98"/>
      <c r="F45" s="98"/>
      <c r="G45" s="98"/>
      <c r="H45" s="98"/>
      <c r="I45" s="242"/>
      <c r="J45" s="27" t="str">
        <f t="shared" si="0"/>
        <v/>
      </c>
      <c r="K45" s="4"/>
      <c r="L45" s="4"/>
    </row>
    <row r="46" spans="2:12" x14ac:dyDescent="0.2">
      <c r="B46" s="101" t="str">
        <f>IF('Credit Info'!B47="","",IF('Credit Info'!G47&gt;0,"",'Credit Info'!B47))</f>
        <v/>
      </c>
      <c r="C46" s="101" t="str">
        <f>IF('Credit Info'!C47="","",IF('Credit Info'!G47&gt;0,"",'Credit Info'!C47))</f>
        <v/>
      </c>
      <c r="D46" s="98"/>
      <c r="E46" s="98"/>
      <c r="F46" s="98"/>
      <c r="G46" s="98"/>
      <c r="H46" s="98"/>
      <c r="I46" s="242"/>
      <c r="J46" s="27" t="str">
        <f t="shared" si="0"/>
        <v/>
      </c>
      <c r="K46" s="4"/>
      <c r="L46" s="4"/>
    </row>
    <row r="47" spans="2:12" x14ac:dyDescent="0.2">
      <c r="B47" s="101" t="str">
        <f>IF('Credit Info'!B48="","",IF('Credit Info'!G48&gt;0,"",'Credit Info'!B48))</f>
        <v/>
      </c>
      <c r="C47" s="101" t="str">
        <f>IF('Credit Info'!C48="","",IF('Credit Info'!G48&gt;0,"",'Credit Info'!C48))</f>
        <v/>
      </c>
      <c r="D47" s="98"/>
      <c r="E47" s="98"/>
      <c r="F47" s="98"/>
      <c r="G47" s="98"/>
      <c r="H47" s="98"/>
      <c r="I47" s="242"/>
      <c r="J47" s="27" t="str">
        <f t="shared" si="0"/>
        <v/>
      </c>
    </row>
    <row r="48" spans="2:12" x14ac:dyDescent="0.2">
      <c r="B48" s="101" t="str">
        <f>IF('Credit Info'!B49="","",IF('Credit Info'!G49&gt;0,"",'Credit Info'!B49))</f>
        <v/>
      </c>
      <c r="C48" s="101" t="str">
        <f>IF('Credit Info'!C49="","",IF('Credit Info'!G49&gt;0,"",'Credit Info'!C49))</f>
        <v/>
      </c>
      <c r="D48" s="98"/>
      <c r="E48" s="98"/>
      <c r="F48" s="98"/>
      <c r="G48" s="98"/>
      <c r="H48" s="98"/>
      <c r="I48" s="242"/>
      <c r="J48" s="27" t="str">
        <f t="shared" si="0"/>
        <v/>
      </c>
    </row>
    <row r="49" spans="2:10" x14ac:dyDescent="0.2">
      <c r="B49" s="101" t="str">
        <f>IF('Credit Info'!B50="","",IF('Credit Info'!G50&gt;0,"",'Credit Info'!B50))</f>
        <v/>
      </c>
      <c r="C49" s="101" t="str">
        <f>IF('Credit Info'!C50="","",IF('Credit Info'!G50&gt;0,"",'Credit Info'!C50))</f>
        <v/>
      </c>
      <c r="D49" s="98"/>
      <c r="E49" s="98"/>
      <c r="F49" s="98"/>
      <c r="G49" s="98"/>
      <c r="H49" s="98"/>
      <c r="I49" s="242"/>
      <c r="J49" s="27" t="str">
        <f t="shared" si="0"/>
        <v/>
      </c>
    </row>
    <row r="50" spans="2:10" x14ac:dyDescent="0.2">
      <c r="B50" s="101" t="str">
        <f>IF('Credit Info'!B51="","",IF('Credit Info'!G51&gt;0,"",'Credit Info'!B51))</f>
        <v/>
      </c>
      <c r="C50" s="101" t="str">
        <f>IF('Credit Info'!C51="","",IF('Credit Info'!G51&gt;0,"",'Credit Info'!C51))</f>
        <v/>
      </c>
      <c r="D50" s="98"/>
      <c r="E50" s="98"/>
      <c r="F50" s="98"/>
      <c r="G50" s="98"/>
      <c r="H50" s="98"/>
      <c r="I50" s="242"/>
      <c r="J50" s="27" t="str">
        <f t="shared" si="0"/>
        <v/>
      </c>
    </row>
    <row r="51" spans="2:10" x14ac:dyDescent="0.2">
      <c r="B51" s="101" t="str">
        <f>IF('Credit Info'!B52="","",IF('Credit Info'!G52&gt;0,"",'Credit Info'!B52))</f>
        <v/>
      </c>
      <c r="C51" s="101" t="str">
        <f>IF('Credit Info'!C52="","",IF('Credit Info'!G52&gt;0,"",'Credit Info'!C52))</f>
        <v/>
      </c>
      <c r="D51" s="98"/>
      <c r="E51" s="98"/>
      <c r="F51" s="98"/>
      <c r="G51" s="98"/>
      <c r="H51" s="98"/>
      <c r="I51" s="242"/>
      <c r="J51" s="27" t="str">
        <f t="shared" si="0"/>
        <v/>
      </c>
    </row>
    <row r="52" spans="2:10" x14ac:dyDescent="0.2">
      <c r="B52" s="428"/>
      <c r="C52" s="428"/>
      <c r="D52" s="428"/>
      <c r="E52" s="428"/>
      <c r="F52" s="428"/>
      <c r="G52" s="428"/>
      <c r="H52" s="428"/>
      <c r="I52" s="363"/>
      <c r="J52" s="357">
        <f>SUM(J10:J51)</f>
        <v>0</v>
      </c>
    </row>
    <row r="53" spans="2:10" x14ac:dyDescent="0.2">
      <c r="B53" s="20" t="s">
        <v>414</v>
      </c>
    </row>
  </sheetData>
  <sheetProtection password="F22C" sheet="1" objects="1" scenarios="1" selectLockedCells="1"/>
  <mergeCells count="5">
    <mergeCell ref="B52:H52"/>
    <mergeCell ref="B2:J2"/>
    <mergeCell ref="F5:G5"/>
    <mergeCell ref="H5:J5"/>
    <mergeCell ref="D8:I8"/>
  </mergeCells>
  <phoneticPr fontId="2" type="noConversion"/>
  <printOptions horizontalCentered="1"/>
  <pageMargins left="0.75" right="0.75" top="1" bottom="1" header="0.5" footer="0.5"/>
  <pageSetup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T105"/>
  <sheetViews>
    <sheetView showGridLines="0" showRowColHeaders="0" workbookViewId="0">
      <selection activeCell="F14" sqref="F14"/>
    </sheetView>
  </sheetViews>
  <sheetFormatPr defaultRowHeight="12.75" x14ac:dyDescent="0.2"/>
  <cols>
    <col min="1" max="1" width="4.7109375" style="4" customWidth="1"/>
    <col min="2" max="2" width="7.7109375" style="4" bestFit="1" customWidth="1"/>
    <col min="3" max="3" width="6" style="4" bestFit="1" customWidth="1"/>
    <col min="4" max="4" width="6" style="4" customWidth="1"/>
    <col min="5" max="5" width="7.28515625" style="4" customWidth="1"/>
    <col min="6" max="6" width="8.28515625" style="4" bestFit="1" customWidth="1"/>
    <col min="7" max="7" width="9" style="4" customWidth="1"/>
    <col min="8" max="8" width="7.28515625" style="4" customWidth="1"/>
    <col min="9" max="10" width="9.140625" style="4"/>
    <col min="11" max="11" width="11.5703125" style="4" customWidth="1"/>
    <col min="12" max="12" width="10.42578125" style="4" customWidth="1"/>
    <col min="13" max="14" width="9.7109375" style="4" customWidth="1"/>
    <col min="15" max="17" width="9.140625" style="4"/>
    <col min="18" max="18" width="8.85546875" style="4" customWidth="1"/>
    <col min="19" max="19" width="11.42578125" style="4" hidden="1" customWidth="1"/>
    <col min="20" max="20" width="9.140625" style="4" hidden="1" customWidth="1"/>
    <col min="21" max="16384" width="9.140625" style="4"/>
  </cols>
  <sheetData>
    <row r="2" spans="2:20" ht="18.75" x14ac:dyDescent="0.3">
      <c r="B2" s="424" t="s">
        <v>328</v>
      </c>
      <c r="C2" s="424"/>
      <c r="D2" s="424"/>
      <c r="E2" s="424"/>
      <c r="F2" s="424"/>
      <c r="G2" s="424"/>
      <c r="H2" s="424"/>
      <c r="I2" s="424"/>
      <c r="J2" s="424"/>
      <c r="K2" s="424"/>
      <c r="L2" s="424"/>
      <c r="M2" s="424"/>
      <c r="N2" s="424"/>
    </row>
    <row r="4" spans="2:20" ht="12.75" customHeight="1" x14ac:dyDescent="0.2">
      <c r="S4" s="94" t="s">
        <v>148</v>
      </c>
      <c r="T4" s="289" t="s">
        <v>149</v>
      </c>
    </row>
    <row r="5" spans="2:20" x14ac:dyDescent="0.2">
      <c r="B5" s="427" t="s">
        <v>0</v>
      </c>
      <c r="C5" s="427"/>
      <c r="D5" s="429" t="str">
        <f>IF('Credit Info'!C5=0,"",'Credit Info'!C5)</f>
        <v/>
      </c>
      <c r="E5" s="429"/>
      <c r="F5" s="429"/>
      <c r="G5" s="429"/>
      <c r="I5" s="220"/>
      <c r="J5" s="220"/>
      <c r="L5" s="1" t="s">
        <v>37</v>
      </c>
      <c r="M5" s="23" t="str">
        <f>IF('Credit Info'!L5=0,"",'Credit Info'!L5)</f>
        <v/>
      </c>
      <c r="S5" s="94"/>
      <c r="T5" s="289"/>
    </row>
    <row r="6" spans="2:20" x14ac:dyDescent="0.2">
      <c r="B6" s="1"/>
      <c r="C6" s="1"/>
      <c r="D6" s="308"/>
      <c r="E6" s="1"/>
      <c r="F6" s="3"/>
      <c r="G6" s="3"/>
      <c r="H6" s="3"/>
      <c r="I6" s="3"/>
      <c r="J6" s="3"/>
      <c r="M6" s="1"/>
      <c r="N6" s="3"/>
      <c r="S6" s="95" t="s">
        <v>150</v>
      </c>
      <c r="T6" s="301">
        <v>56100</v>
      </c>
    </row>
    <row r="7" spans="2:20" x14ac:dyDescent="0.2">
      <c r="B7" s="1"/>
      <c r="C7" s="1"/>
      <c r="D7" s="308"/>
      <c r="E7" s="1"/>
      <c r="F7" s="3"/>
      <c r="G7" s="3"/>
      <c r="H7" s="3"/>
      <c r="I7" s="3"/>
      <c r="J7" s="3"/>
      <c r="M7" s="1"/>
      <c r="N7" s="3"/>
      <c r="S7" s="95" t="s">
        <v>151</v>
      </c>
      <c r="T7" s="301">
        <v>51100</v>
      </c>
    </row>
    <row r="8" spans="2:20" x14ac:dyDescent="0.2">
      <c r="B8" s="1" t="s">
        <v>40</v>
      </c>
      <c r="C8" s="441"/>
      <c r="D8" s="441"/>
      <c r="E8" s="441"/>
      <c r="F8" s="441"/>
      <c r="G8" s="3"/>
      <c r="H8" s="3"/>
      <c r="I8" s="3"/>
      <c r="J8" s="3"/>
      <c r="K8" s="1" t="s">
        <v>41</v>
      </c>
      <c r="L8" s="97" t="str">
        <f>IF(C8="","",VLOOKUP(C8,S5:T105,2))</f>
        <v/>
      </c>
      <c r="N8" s="3"/>
      <c r="S8" s="95" t="s">
        <v>152</v>
      </c>
      <c r="T8" s="301">
        <v>41000</v>
      </c>
    </row>
    <row r="9" spans="2:20" x14ac:dyDescent="0.2">
      <c r="B9" s="1"/>
      <c r="C9" s="1"/>
      <c r="D9" s="308"/>
      <c r="E9" s="1"/>
      <c r="F9" s="3"/>
      <c r="G9" s="3"/>
      <c r="H9" s="3"/>
      <c r="I9" s="3"/>
      <c r="J9" s="3"/>
      <c r="K9" s="1"/>
      <c r="L9" s="96"/>
      <c r="N9" s="3"/>
      <c r="P9" s="154"/>
      <c r="S9" s="95" t="s">
        <v>153</v>
      </c>
      <c r="T9" s="301">
        <v>42100</v>
      </c>
    </row>
    <row r="10" spans="2:20" x14ac:dyDescent="0.2">
      <c r="B10" s="1"/>
      <c r="C10" s="1"/>
      <c r="D10" s="308"/>
      <c r="E10" s="1"/>
      <c r="F10" s="3"/>
      <c r="G10" s="3"/>
      <c r="H10" s="3"/>
      <c r="I10" s="3"/>
      <c r="J10" s="3"/>
      <c r="K10" s="1"/>
      <c r="L10" s="96"/>
      <c r="N10" s="3"/>
      <c r="O10" s="31"/>
      <c r="S10" s="95" t="s">
        <v>154</v>
      </c>
      <c r="T10" s="301">
        <v>49500</v>
      </c>
    </row>
    <row r="11" spans="2:20" x14ac:dyDescent="0.2">
      <c r="B11" s="21"/>
      <c r="C11" s="21"/>
      <c r="D11" s="21"/>
      <c r="E11" s="19" t="s">
        <v>323</v>
      </c>
      <c r="F11" s="21"/>
      <c r="G11" s="21" t="s">
        <v>428</v>
      </c>
      <c r="H11" s="19" t="s">
        <v>22</v>
      </c>
      <c r="I11" s="19" t="s">
        <v>333</v>
      </c>
      <c r="J11" s="19" t="s">
        <v>18</v>
      </c>
      <c r="K11" s="21" t="s">
        <v>250</v>
      </c>
      <c r="L11" s="29" t="s">
        <v>30</v>
      </c>
      <c r="M11" s="442" t="s">
        <v>325</v>
      </c>
      <c r="N11" s="442"/>
      <c r="O11" s="24">
        <f>'Bldg Info'!J52</f>
        <v>0</v>
      </c>
      <c r="S11" s="95" t="s">
        <v>155</v>
      </c>
      <c r="T11" s="301">
        <v>50600</v>
      </c>
    </row>
    <row r="12" spans="2:20" x14ac:dyDescent="0.2">
      <c r="B12" s="8" t="s">
        <v>38</v>
      </c>
      <c r="C12" s="8" t="s">
        <v>23</v>
      </c>
      <c r="D12" s="8" t="s">
        <v>484</v>
      </c>
      <c r="E12" s="8" t="s">
        <v>424</v>
      </c>
      <c r="F12" s="8" t="s">
        <v>21</v>
      </c>
      <c r="G12" s="8" t="s">
        <v>20</v>
      </c>
      <c r="H12" s="8" t="s">
        <v>15</v>
      </c>
      <c r="I12" s="8" t="s">
        <v>16</v>
      </c>
      <c r="J12" s="8" t="s">
        <v>19</v>
      </c>
      <c r="K12" s="8" t="s">
        <v>45</v>
      </c>
      <c r="L12" s="8" t="s">
        <v>31</v>
      </c>
      <c r="M12" s="8" t="s">
        <v>324</v>
      </c>
      <c r="N12" s="8" t="s">
        <v>323</v>
      </c>
      <c r="O12" s="33"/>
      <c r="S12" s="95" t="s">
        <v>156</v>
      </c>
      <c r="T12" s="301">
        <v>52800</v>
      </c>
    </row>
    <row r="13" spans="2:20" x14ac:dyDescent="0.2">
      <c r="B13" s="98"/>
      <c r="C13" s="98"/>
      <c r="D13" s="98"/>
      <c r="E13" s="98"/>
      <c r="F13" s="98"/>
      <c r="G13" s="98"/>
      <c r="H13" s="240"/>
      <c r="I13" s="14"/>
      <c r="J13" s="14"/>
      <c r="K13" s="15" t="str">
        <f t="shared" ref="K13:K34" si="0">IF(B13=0,"",I13+J13)</f>
        <v/>
      </c>
      <c r="L13" s="287" t="str">
        <f t="shared" ref="L13:L34" si="1">IF($L$8="","",IF(B13="","",IF(B13="Eff",K13*12/0.3/($L$8*0.7),IF(B13=1,K13*12/0.3/($L$8*0.75),IF(B13=2,K13*12/0.3/($L$8*0.9),IF(B13=3,K13*12/0.3/($L$8*1.04),K13*12/0.3/($L$8*1.16)))))))</f>
        <v/>
      </c>
      <c r="M13" s="15" t="str">
        <f t="shared" ref="M13:M34" si="2">IF(B13="","",IF(F13="","",IF(E13="No",F13*I13*12,"")))</f>
        <v/>
      </c>
      <c r="N13" s="15" t="str">
        <f t="shared" ref="N13:N34" si="3">IF(B13="","",IF(F13="","",IF(E13="Yes",F13*I13*12,"")))</f>
        <v/>
      </c>
      <c r="O13" s="19"/>
      <c r="S13" s="95" t="s">
        <v>157</v>
      </c>
      <c r="T13" s="301">
        <v>41900</v>
      </c>
    </row>
    <row r="14" spans="2:20" x14ac:dyDescent="0.2">
      <c r="B14" s="98"/>
      <c r="C14" s="98"/>
      <c r="D14" s="98"/>
      <c r="E14" s="98"/>
      <c r="F14" s="98"/>
      <c r="G14" s="98"/>
      <c r="H14" s="241"/>
      <c r="I14" s="14"/>
      <c r="J14" s="14"/>
      <c r="K14" s="15" t="str">
        <f t="shared" si="0"/>
        <v/>
      </c>
      <c r="L14" s="287" t="str">
        <f t="shared" si="1"/>
        <v/>
      </c>
      <c r="M14" s="15" t="str">
        <f t="shared" si="2"/>
        <v/>
      </c>
      <c r="N14" s="15" t="str">
        <f t="shared" si="3"/>
        <v/>
      </c>
      <c r="O14" s="32"/>
      <c r="S14" s="95" t="s">
        <v>158</v>
      </c>
      <c r="T14" s="301">
        <v>44600</v>
      </c>
    </row>
    <row r="15" spans="2:20" x14ac:dyDescent="0.2">
      <c r="B15" s="98"/>
      <c r="C15" s="98"/>
      <c r="D15" s="98"/>
      <c r="E15" s="98"/>
      <c r="F15" s="98"/>
      <c r="G15" s="98"/>
      <c r="H15" s="241"/>
      <c r="I15" s="14"/>
      <c r="J15" s="14"/>
      <c r="K15" s="15" t="str">
        <f t="shared" si="0"/>
        <v/>
      </c>
      <c r="L15" s="287" t="str">
        <f t="shared" si="1"/>
        <v/>
      </c>
      <c r="M15" s="15" t="str">
        <f t="shared" si="2"/>
        <v/>
      </c>
      <c r="N15" s="15" t="str">
        <f t="shared" si="3"/>
        <v/>
      </c>
      <c r="S15" s="95" t="s">
        <v>159</v>
      </c>
      <c r="T15" s="301">
        <v>62700</v>
      </c>
    </row>
    <row r="16" spans="2:20" x14ac:dyDescent="0.2">
      <c r="B16" s="98"/>
      <c r="C16" s="98"/>
      <c r="D16" s="98"/>
      <c r="E16" s="98"/>
      <c r="F16" s="98"/>
      <c r="G16" s="98"/>
      <c r="H16" s="241"/>
      <c r="I16" s="14"/>
      <c r="J16" s="14"/>
      <c r="K16" s="15" t="str">
        <f t="shared" si="0"/>
        <v/>
      </c>
      <c r="L16" s="287" t="str">
        <f t="shared" si="1"/>
        <v/>
      </c>
      <c r="M16" s="15" t="str">
        <f t="shared" si="2"/>
        <v/>
      </c>
      <c r="N16" s="15" t="str">
        <f t="shared" si="3"/>
        <v/>
      </c>
      <c r="S16" s="95" t="s">
        <v>160</v>
      </c>
      <c r="T16" s="301">
        <v>58400</v>
      </c>
    </row>
    <row r="17" spans="2:20" x14ac:dyDescent="0.2">
      <c r="B17" s="98"/>
      <c r="C17" s="98"/>
      <c r="D17" s="98"/>
      <c r="E17" s="98"/>
      <c r="F17" s="98"/>
      <c r="G17" s="98"/>
      <c r="H17" s="241"/>
      <c r="I17" s="14"/>
      <c r="J17" s="14"/>
      <c r="K17" s="15" t="str">
        <f t="shared" si="0"/>
        <v/>
      </c>
      <c r="L17" s="287" t="str">
        <f t="shared" si="1"/>
        <v/>
      </c>
      <c r="M17" s="15" t="str">
        <f t="shared" si="2"/>
        <v/>
      </c>
      <c r="N17" s="15" t="str">
        <f t="shared" si="3"/>
        <v/>
      </c>
      <c r="S17" s="95" t="s">
        <v>161</v>
      </c>
      <c r="T17" s="301">
        <v>51100</v>
      </c>
    </row>
    <row r="18" spans="2:20" x14ac:dyDescent="0.2">
      <c r="B18" s="98"/>
      <c r="C18" s="98"/>
      <c r="D18" s="98"/>
      <c r="E18" s="98"/>
      <c r="F18" s="98"/>
      <c r="G18" s="98"/>
      <c r="H18" s="241"/>
      <c r="I18" s="14"/>
      <c r="J18" s="14"/>
      <c r="K18" s="15" t="str">
        <f t="shared" si="0"/>
        <v/>
      </c>
      <c r="L18" s="287" t="str">
        <f t="shared" si="1"/>
        <v/>
      </c>
      <c r="M18" s="15" t="str">
        <f t="shared" si="2"/>
        <v/>
      </c>
      <c r="N18" s="15" t="str">
        <f t="shared" si="3"/>
        <v/>
      </c>
      <c r="S18" s="95" t="s">
        <v>162</v>
      </c>
      <c r="T18" s="301">
        <v>64100</v>
      </c>
    </row>
    <row r="19" spans="2:20" x14ac:dyDescent="0.2">
      <c r="B19" s="98"/>
      <c r="C19" s="98"/>
      <c r="D19" s="98"/>
      <c r="E19" s="98"/>
      <c r="F19" s="98"/>
      <c r="G19" s="98"/>
      <c r="H19" s="241"/>
      <c r="I19" s="14"/>
      <c r="J19" s="14"/>
      <c r="K19" s="15" t="str">
        <f t="shared" si="0"/>
        <v/>
      </c>
      <c r="L19" s="287" t="str">
        <f t="shared" si="1"/>
        <v/>
      </c>
      <c r="M19" s="15" t="str">
        <f t="shared" si="2"/>
        <v/>
      </c>
      <c r="N19" s="15" t="str">
        <f t="shared" si="3"/>
        <v/>
      </c>
      <c r="S19" s="95" t="s">
        <v>163</v>
      </c>
      <c r="T19" s="301">
        <v>51100</v>
      </c>
    </row>
    <row r="20" spans="2:20" x14ac:dyDescent="0.2">
      <c r="B20" s="98"/>
      <c r="C20" s="98"/>
      <c r="D20" s="98"/>
      <c r="E20" s="98"/>
      <c r="F20" s="98"/>
      <c r="G20" s="98"/>
      <c r="H20" s="241"/>
      <c r="I20" s="14"/>
      <c r="J20" s="14"/>
      <c r="K20" s="15" t="str">
        <f t="shared" si="0"/>
        <v/>
      </c>
      <c r="L20" s="287" t="str">
        <f t="shared" si="1"/>
        <v/>
      </c>
      <c r="M20" s="15" t="str">
        <f t="shared" si="2"/>
        <v/>
      </c>
      <c r="N20" s="15" t="str">
        <f t="shared" si="3"/>
        <v/>
      </c>
      <c r="S20" s="95" t="s">
        <v>164</v>
      </c>
      <c r="T20" s="301">
        <v>79000</v>
      </c>
    </row>
    <row r="21" spans="2:20" x14ac:dyDescent="0.2">
      <c r="B21" s="98"/>
      <c r="C21" s="98"/>
      <c r="D21" s="98"/>
      <c r="E21" s="98"/>
      <c r="F21" s="98"/>
      <c r="G21" s="98"/>
      <c r="H21" s="241"/>
      <c r="I21" s="14"/>
      <c r="J21" s="14"/>
      <c r="K21" s="15" t="str">
        <f t="shared" si="0"/>
        <v/>
      </c>
      <c r="L21" s="287" t="str">
        <f t="shared" si="1"/>
        <v/>
      </c>
      <c r="M21" s="15" t="str">
        <f t="shared" si="2"/>
        <v/>
      </c>
      <c r="N21" s="15" t="str">
        <f t="shared" si="3"/>
        <v/>
      </c>
      <c r="S21" s="95" t="s">
        <v>165</v>
      </c>
      <c r="T21" s="301">
        <v>60600</v>
      </c>
    </row>
    <row r="22" spans="2:20" x14ac:dyDescent="0.2">
      <c r="B22" s="98"/>
      <c r="C22" s="98"/>
      <c r="D22" s="98"/>
      <c r="E22" s="98"/>
      <c r="F22" s="98"/>
      <c r="G22" s="98"/>
      <c r="H22" s="241"/>
      <c r="I22" s="14"/>
      <c r="J22" s="14"/>
      <c r="K22" s="15" t="str">
        <f t="shared" si="0"/>
        <v/>
      </c>
      <c r="L22" s="287" t="str">
        <f t="shared" si="1"/>
        <v/>
      </c>
      <c r="M22" s="15" t="str">
        <f t="shared" si="2"/>
        <v/>
      </c>
      <c r="N22" s="15" t="str">
        <f t="shared" si="3"/>
        <v/>
      </c>
      <c r="S22" s="95" t="s">
        <v>166</v>
      </c>
      <c r="T22" s="301">
        <v>4720</v>
      </c>
    </row>
    <row r="23" spans="2:20" x14ac:dyDescent="0.2">
      <c r="B23" s="98"/>
      <c r="C23" s="98"/>
      <c r="D23" s="98"/>
      <c r="E23" s="98"/>
      <c r="F23" s="98"/>
      <c r="G23" s="98"/>
      <c r="H23" s="241"/>
      <c r="I23" s="14"/>
      <c r="J23" s="14"/>
      <c r="K23" s="15" t="str">
        <f t="shared" si="0"/>
        <v/>
      </c>
      <c r="L23" s="287" t="str">
        <f t="shared" si="1"/>
        <v/>
      </c>
      <c r="M23" s="15" t="str">
        <f t="shared" si="2"/>
        <v/>
      </c>
      <c r="N23" s="15" t="str">
        <f t="shared" si="3"/>
        <v/>
      </c>
      <c r="S23" s="95" t="s">
        <v>167</v>
      </c>
      <c r="T23" s="301">
        <v>51100</v>
      </c>
    </row>
    <row r="24" spans="2:20" x14ac:dyDescent="0.2">
      <c r="B24" s="98"/>
      <c r="C24" s="98"/>
      <c r="D24" s="98"/>
      <c r="E24" s="98"/>
      <c r="F24" s="98"/>
      <c r="G24" s="98"/>
      <c r="H24" s="241"/>
      <c r="I24" s="14"/>
      <c r="J24" s="14"/>
      <c r="K24" s="15" t="str">
        <f t="shared" si="0"/>
        <v/>
      </c>
      <c r="L24" s="287" t="str">
        <f t="shared" si="1"/>
        <v/>
      </c>
      <c r="M24" s="15" t="str">
        <f t="shared" si="2"/>
        <v/>
      </c>
      <c r="N24" s="15" t="str">
        <f t="shared" si="3"/>
        <v/>
      </c>
      <c r="S24" s="95" t="s">
        <v>168</v>
      </c>
      <c r="T24" s="301">
        <v>67700</v>
      </c>
    </row>
    <row r="25" spans="2:20" x14ac:dyDescent="0.2">
      <c r="B25" s="98"/>
      <c r="C25" s="98"/>
      <c r="D25" s="98"/>
      <c r="E25" s="98"/>
      <c r="F25" s="98"/>
      <c r="G25" s="98"/>
      <c r="H25" s="241"/>
      <c r="I25" s="14"/>
      <c r="J25" s="14"/>
      <c r="K25" s="15" t="str">
        <f t="shared" si="0"/>
        <v/>
      </c>
      <c r="L25" s="287" t="str">
        <f t="shared" si="1"/>
        <v/>
      </c>
      <c r="M25" s="15" t="str">
        <f t="shared" si="2"/>
        <v/>
      </c>
      <c r="N25" s="15" t="str">
        <f t="shared" si="3"/>
        <v/>
      </c>
      <c r="S25" s="95" t="s">
        <v>169</v>
      </c>
      <c r="T25" s="301">
        <v>47800</v>
      </c>
    </row>
    <row r="26" spans="2:20" x14ac:dyDescent="0.2">
      <c r="B26" s="98"/>
      <c r="C26" s="98"/>
      <c r="D26" s="98"/>
      <c r="E26" s="98"/>
      <c r="F26" s="98"/>
      <c r="G26" s="98"/>
      <c r="H26" s="241"/>
      <c r="I26" s="14"/>
      <c r="J26" s="14"/>
      <c r="K26" s="15" t="str">
        <f t="shared" si="0"/>
        <v/>
      </c>
      <c r="L26" s="287" t="str">
        <f t="shared" si="1"/>
        <v/>
      </c>
      <c r="M26" s="15" t="str">
        <f t="shared" si="2"/>
        <v/>
      </c>
      <c r="N26" s="15" t="str">
        <f t="shared" si="3"/>
        <v/>
      </c>
      <c r="S26" s="95" t="s">
        <v>170</v>
      </c>
      <c r="T26" s="301">
        <v>48800</v>
      </c>
    </row>
    <row r="27" spans="2:20" x14ac:dyDescent="0.2">
      <c r="B27" s="98"/>
      <c r="C27" s="98"/>
      <c r="D27" s="98"/>
      <c r="E27" s="98"/>
      <c r="F27" s="98"/>
      <c r="G27" s="98"/>
      <c r="H27" s="241"/>
      <c r="I27" s="14"/>
      <c r="J27" s="14"/>
      <c r="K27" s="15" t="str">
        <f t="shared" si="0"/>
        <v/>
      </c>
      <c r="L27" s="287" t="str">
        <f t="shared" si="1"/>
        <v/>
      </c>
      <c r="M27" s="15" t="str">
        <f t="shared" si="2"/>
        <v/>
      </c>
      <c r="N27" s="15" t="str">
        <f t="shared" si="3"/>
        <v/>
      </c>
      <c r="S27" s="95" t="s">
        <v>171</v>
      </c>
      <c r="T27" s="301">
        <v>41900</v>
      </c>
    </row>
    <row r="28" spans="2:20" x14ac:dyDescent="0.2">
      <c r="B28" s="98"/>
      <c r="C28" s="98"/>
      <c r="D28" s="98"/>
      <c r="E28" s="98"/>
      <c r="F28" s="98"/>
      <c r="G28" s="98"/>
      <c r="H28" s="241"/>
      <c r="I28" s="14"/>
      <c r="J28" s="14"/>
      <c r="K28" s="15" t="str">
        <f t="shared" si="0"/>
        <v/>
      </c>
      <c r="L28" s="287" t="str">
        <f t="shared" si="1"/>
        <v/>
      </c>
      <c r="M28" s="15" t="str">
        <f t="shared" si="2"/>
        <v/>
      </c>
      <c r="N28" s="15" t="str">
        <f t="shared" si="3"/>
        <v/>
      </c>
      <c r="S28" s="95" t="s">
        <v>172</v>
      </c>
      <c r="T28" s="301">
        <v>50500</v>
      </c>
    </row>
    <row r="29" spans="2:20" x14ac:dyDescent="0.2">
      <c r="B29" s="98"/>
      <c r="C29" s="98"/>
      <c r="D29" s="98"/>
      <c r="E29" s="98"/>
      <c r="F29" s="98"/>
      <c r="G29" s="98"/>
      <c r="H29" s="241"/>
      <c r="I29" s="14"/>
      <c r="J29" s="14"/>
      <c r="K29" s="15" t="str">
        <f t="shared" si="0"/>
        <v/>
      </c>
      <c r="L29" s="287" t="str">
        <f t="shared" si="1"/>
        <v/>
      </c>
      <c r="M29" s="15" t="str">
        <f t="shared" si="2"/>
        <v/>
      </c>
      <c r="N29" s="15" t="str">
        <f t="shared" si="3"/>
        <v/>
      </c>
      <c r="S29" s="95" t="s">
        <v>173</v>
      </c>
      <c r="T29" s="301">
        <v>48000</v>
      </c>
    </row>
    <row r="30" spans="2:20" x14ac:dyDescent="0.2">
      <c r="B30" s="98"/>
      <c r="C30" s="98"/>
      <c r="D30" s="98"/>
      <c r="E30" s="98"/>
      <c r="F30" s="98"/>
      <c r="G30" s="98"/>
      <c r="H30" s="241"/>
      <c r="I30" s="14"/>
      <c r="J30" s="14"/>
      <c r="K30" s="15" t="str">
        <f t="shared" si="0"/>
        <v/>
      </c>
      <c r="L30" s="287" t="str">
        <f t="shared" si="1"/>
        <v/>
      </c>
      <c r="M30" s="15" t="str">
        <f t="shared" si="2"/>
        <v/>
      </c>
      <c r="N30" s="15" t="str">
        <f t="shared" si="3"/>
        <v/>
      </c>
      <c r="S30" s="95" t="s">
        <v>174</v>
      </c>
      <c r="T30" s="301">
        <v>58000</v>
      </c>
    </row>
    <row r="31" spans="2:20" x14ac:dyDescent="0.2">
      <c r="B31" s="98"/>
      <c r="C31" s="98"/>
      <c r="D31" s="98"/>
      <c r="E31" s="98"/>
      <c r="F31" s="98"/>
      <c r="G31" s="98"/>
      <c r="H31" s="241"/>
      <c r="I31" s="14"/>
      <c r="J31" s="14"/>
      <c r="K31" s="15" t="str">
        <f t="shared" si="0"/>
        <v/>
      </c>
      <c r="L31" s="287" t="str">
        <f t="shared" si="1"/>
        <v/>
      </c>
      <c r="M31" s="15" t="str">
        <f t="shared" si="2"/>
        <v/>
      </c>
      <c r="N31" s="15" t="str">
        <f t="shared" si="3"/>
        <v/>
      </c>
      <c r="S31" s="95" t="s">
        <v>175</v>
      </c>
      <c r="T31" s="301">
        <v>52700</v>
      </c>
    </row>
    <row r="32" spans="2:20" x14ac:dyDescent="0.2">
      <c r="B32" s="98"/>
      <c r="C32" s="98"/>
      <c r="D32" s="98"/>
      <c r="E32" s="98"/>
      <c r="F32" s="98"/>
      <c r="G32" s="98"/>
      <c r="H32" s="241"/>
      <c r="I32" s="14"/>
      <c r="J32" s="14"/>
      <c r="K32" s="15" t="str">
        <f t="shared" si="0"/>
        <v/>
      </c>
      <c r="L32" s="287" t="str">
        <f t="shared" si="1"/>
        <v/>
      </c>
      <c r="M32" s="15" t="str">
        <f t="shared" si="2"/>
        <v/>
      </c>
      <c r="N32" s="15" t="str">
        <f t="shared" si="3"/>
        <v/>
      </c>
      <c r="S32" s="95" t="s">
        <v>176</v>
      </c>
      <c r="T32" s="301">
        <v>73300</v>
      </c>
    </row>
    <row r="33" spans="1:20" x14ac:dyDescent="0.2">
      <c r="B33" s="98"/>
      <c r="C33" s="98"/>
      <c r="D33" s="98"/>
      <c r="E33" s="98"/>
      <c r="F33" s="98"/>
      <c r="G33" s="98"/>
      <c r="H33" s="241"/>
      <c r="I33" s="14"/>
      <c r="J33" s="14"/>
      <c r="K33" s="15" t="str">
        <f t="shared" si="0"/>
        <v/>
      </c>
      <c r="L33" s="287" t="str">
        <f t="shared" si="1"/>
        <v/>
      </c>
      <c r="M33" s="15" t="str">
        <f t="shared" si="2"/>
        <v/>
      </c>
      <c r="N33" s="15" t="str">
        <f t="shared" si="3"/>
        <v/>
      </c>
      <c r="S33" s="95" t="s">
        <v>177</v>
      </c>
      <c r="T33" s="301">
        <v>69900</v>
      </c>
    </row>
    <row r="34" spans="1:20" x14ac:dyDescent="0.2">
      <c r="B34" s="98"/>
      <c r="C34" s="98"/>
      <c r="D34" s="98"/>
      <c r="E34" s="98"/>
      <c r="F34" s="98"/>
      <c r="G34" s="98"/>
      <c r="H34" s="241"/>
      <c r="I34" s="14"/>
      <c r="J34" s="14"/>
      <c r="K34" s="15" t="str">
        <f t="shared" si="0"/>
        <v/>
      </c>
      <c r="L34" s="287" t="str">
        <f t="shared" si="1"/>
        <v/>
      </c>
      <c r="M34" s="15" t="str">
        <f t="shared" si="2"/>
        <v/>
      </c>
      <c r="N34" s="15" t="str">
        <f t="shared" si="3"/>
        <v/>
      </c>
      <c r="S34" s="95" t="s">
        <v>178</v>
      </c>
      <c r="T34" s="301">
        <v>56700</v>
      </c>
    </row>
    <row r="35" spans="1:20" x14ac:dyDescent="0.2">
      <c r="F35" s="19">
        <f>SUM(F13:F34)</f>
        <v>0</v>
      </c>
      <c r="G35" s="19">
        <f>SUM(G13:G34)</f>
        <v>0</v>
      </c>
      <c r="M35" s="17">
        <f>SUM(M13:M34)</f>
        <v>0</v>
      </c>
      <c r="N35" s="17">
        <f>SUM(N13:N34)</f>
        <v>0</v>
      </c>
      <c r="S35" s="95" t="s">
        <v>179</v>
      </c>
      <c r="T35" s="301">
        <v>59500</v>
      </c>
    </row>
    <row r="36" spans="1:20" x14ac:dyDescent="0.2">
      <c r="F36" s="28" t="str">
        <f>IF(F35&lt;&gt;O11,"Does not equal Total from Bldg Info page","")</f>
        <v/>
      </c>
      <c r="G36" s="19"/>
      <c r="S36" s="95" t="s">
        <v>180</v>
      </c>
      <c r="T36" s="301">
        <v>43300</v>
      </c>
    </row>
    <row r="37" spans="1:20" x14ac:dyDescent="0.2">
      <c r="B37" s="20" t="s">
        <v>483</v>
      </c>
      <c r="F37" s="28"/>
      <c r="G37" s="19"/>
      <c r="S37" s="95" t="s">
        <v>181</v>
      </c>
      <c r="T37" s="301">
        <v>67700</v>
      </c>
    </row>
    <row r="38" spans="1:20" x14ac:dyDescent="0.2">
      <c r="F38" s="28"/>
      <c r="G38" s="19"/>
      <c r="S38" s="95" t="s">
        <v>182</v>
      </c>
      <c r="T38" s="301">
        <v>55300</v>
      </c>
    </row>
    <row r="39" spans="1:20" x14ac:dyDescent="0.2">
      <c r="C39" s="30" t="s">
        <v>334</v>
      </c>
      <c r="D39" s="30"/>
      <c r="E39" s="30"/>
      <c r="H39" s="30" t="s">
        <v>143</v>
      </c>
      <c r="S39" s="95" t="s">
        <v>183</v>
      </c>
      <c r="T39" s="301">
        <v>59500</v>
      </c>
    </row>
    <row r="40" spans="1:20" x14ac:dyDescent="0.2">
      <c r="C40" s="4" t="s">
        <v>24</v>
      </c>
      <c r="H40" s="2"/>
      <c r="I40" s="4" t="s">
        <v>144</v>
      </c>
      <c r="S40" s="95" t="s">
        <v>184</v>
      </c>
      <c r="T40" s="301">
        <v>79900</v>
      </c>
    </row>
    <row r="41" spans="1:20" x14ac:dyDescent="0.2">
      <c r="C41" s="4" t="s">
        <v>25</v>
      </c>
      <c r="H41" s="242"/>
      <c r="I41" s="4" t="s">
        <v>145</v>
      </c>
      <c r="S41" s="95" t="s">
        <v>185</v>
      </c>
      <c r="T41" s="301">
        <v>64100</v>
      </c>
    </row>
    <row r="42" spans="1:20" x14ac:dyDescent="0.2">
      <c r="C42" s="4" t="s">
        <v>26</v>
      </c>
      <c r="H42" s="242"/>
      <c r="I42" s="4" t="s">
        <v>93</v>
      </c>
      <c r="S42" s="95" t="s">
        <v>186</v>
      </c>
      <c r="T42" s="301">
        <v>59000</v>
      </c>
    </row>
    <row r="43" spans="1:20" x14ac:dyDescent="0.2">
      <c r="C43" s="4" t="s">
        <v>27</v>
      </c>
      <c r="H43" s="242"/>
      <c r="I43" s="4" t="s">
        <v>146</v>
      </c>
      <c r="S43" s="95" t="s">
        <v>187</v>
      </c>
      <c r="T43" s="301">
        <v>37000</v>
      </c>
    </row>
    <row r="44" spans="1:20" x14ac:dyDescent="0.2">
      <c r="A44" s="290"/>
      <c r="B44" s="290"/>
      <c r="C44" s="290"/>
      <c r="D44" s="290"/>
      <c r="E44" s="290"/>
      <c r="F44" s="290"/>
      <c r="G44" s="290"/>
      <c r="H44" s="242"/>
      <c r="I44" s="4" t="s">
        <v>73</v>
      </c>
      <c r="J44" s="440"/>
      <c r="K44" s="440"/>
      <c r="L44" s="290"/>
      <c r="S44" s="95" t="s">
        <v>188</v>
      </c>
      <c r="T44" s="301">
        <v>60800</v>
      </c>
    </row>
    <row r="45" spans="1:20" x14ac:dyDescent="0.2">
      <c r="A45" s="290"/>
      <c r="B45" s="352" t="s">
        <v>39</v>
      </c>
      <c r="C45" s="353" t="s">
        <v>33</v>
      </c>
      <c r="D45" s="353">
        <v>1</v>
      </c>
      <c r="E45" s="353" t="s">
        <v>28</v>
      </c>
      <c r="F45" s="353"/>
      <c r="H45" s="290"/>
      <c r="I45" s="290"/>
      <c r="J45" s="290"/>
      <c r="K45" s="290"/>
      <c r="L45" s="290"/>
      <c r="S45" s="95" t="s">
        <v>189</v>
      </c>
      <c r="T45" s="301">
        <v>51400</v>
      </c>
    </row>
    <row r="46" spans="1:20" x14ac:dyDescent="0.2">
      <c r="A46" s="290"/>
      <c r="B46" s="353">
        <v>1</v>
      </c>
      <c r="C46" s="353" t="s">
        <v>35</v>
      </c>
      <c r="D46" s="353">
        <v>1.5</v>
      </c>
      <c r="E46" s="353" t="s">
        <v>29</v>
      </c>
      <c r="F46" s="354" t="s">
        <v>251</v>
      </c>
      <c r="H46" s="290"/>
      <c r="I46" s="290"/>
      <c r="J46" s="290"/>
      <c r="K46" s="290"/>
      <c r="L46" s="290"/>
      <c r="S46" s="95" t="s">
        <v>190</v>
      </c>
      <c r="T46" s="301">
        <v>58000</v>
      </c>
    </row>
    <row r="47" spans="1:20" x14ac:dyDescent="0.2">
      <c r="A47" s="290"/>
      <c r="B47" s="353">
        <v>2</v>
      </c>
      <c r="C47" s="353" t="s">
        <v>32</v>
      </c>
      <c r="D47" s="353">
        <v>1.75</v>
      </c>
      <c r="I47" s="290"/>
      <c r="J47" s="290"/>
      <c r="K47" s="290"/>
      <c r="L47" s="290"/>
      <c r="S47" s="95" t="s">
        <v>191</v>
      </c>
      <c r="T47" s="301">
        <v>43100</v>
      </c>
    </row>
    <row r="48" spans="1:20" x14ac:dyDescent="0.2">
      <c r="A48" s="290"/>
      <c r="B48" s="353">
        <v>3</v>
      </c>
      <c r="C48" s="353" t="s">
        <v>34</v>
      </c>
      <c r="D48" s="353">
        <v>2</v>
      </c>
      <c r="E48" s="4" t="s">
        <v>425</v>
      </c>
      <c r="F48" s="290"/>
      <c r="G48" s="290"/>
      <c r="H48" s="290"/>
      <c r="I48" s="290"/>
      <c r="J48" s="290"/>
      <c r="K48" s="290"/>
      <c r="L48" s="290"/>
      <c r="S48" s="95" t="s">
        <v>192</v>
      </c>
      <c r="T48" s="301">
        <v>55700</v>
      </c>
    </row>
    <row r="49" spans="1:20" x14ac:dyDescent="0.2">
      <c r="A49" s="290"/>
      <c r="B49" s="353">
        <v>4</v>
      </c>
      <c r="C49" s="353"/>
      <c r="D49" s="353">
        <v>2.5</v>
      </c>
      <c r="E49" s="431"/>
      <c r="F49" s="432"/>
      <c r="G49" s="432"/>
      <c r="H49" s="432"/>
      <c r="I49" s="432"/>
      <c r="J49" s="432"/>
      <c r="K49" s="432"/>
      <c r="L49" s="432"/>
      <c r="M49" s="432"/>
      <c r="N49" s="433"/>
      <c r="S49" s="95" t="s">
        <v>193</v>
      </c>
      <c r="T49" s="301">
        <v>54800</v>
      </c>
    </row>
    <row r="50" spans="1:20" x14ac:dyDescent="0.2">
      <c r="A50" s="290"/>
      <c r="B50" s="353">
        <v>5</v>
      </c>
      <c r="C50" s="353"/>
      <c r="D50" s="353">
        <v>2.75</v>
      </c>
      <c r="E50" s="434"/>
      <c r="F50" s="435"/>
      <c r="G50" s="435"/>
      <c r="H50" s="435"/>
      <c r="I50" s="435"/>
      <c r="J50" s="435"/>
      <c r="K50" s="435"/>
      <c r="L50" s="435"/>
      <c r="M50" s="435"/>
      <c r="N50" s="436"/>
      <c r="S50" s="95" t="s">
        <v>194</v>
      </c>
      <c r="T50" s="301">
        <v>58400</v>
      </c>
    </row>
    <row r="51" spans="1:20" x14ac:dyDescent="0.2">
      <c r="A51" s="290"/>
      <c r="B51" s="353"/>
      <c r="C51" s="353"/>
      <c r="D51" s="353">
        <v>3</v>
      </c>
      <c r="E51" s="434"/>
      <c r="F51" s="435"/>
      <c r="G51" s="435"/>
      <c r="H51" s="435"/>
      <c r="I51" s="435"/>
      <c r="J51" s="435"/>
      <c r="K51" s="435"/>
      <c r="L51" s="435"/>
      <c r="M51" s="435"/>
      <c r="N51" s="436"/>
      <c r="S51" s="95" t="s">
        <v>195</v>
      </c>
      <c r="T51" s="301">
        <v>42500</v>
      </c>
    </row>
    <row r="52" spans="1:20" x14ac:dyDescent="0.2">
      <c r="A52" s="290"/>
      <c r="E52" s="434"/>
      <c r="F52" s="435"/>
      <c r="G52" s="435"/>
      <c r="H52" s="435"/>
      <c r="I52" s="435"/>
      <c r="J52" s="435"/>
      <c r="K52" s="435"/>
      <c r="L52" s="435"/>
      <c r="M52" s="435"/>
      <c r="N52" s="436"/>
      <c r="S52" s="95" t="s">
        <v>196</v>
      </c>
      <c r="T52" s="301">
        <v>50300</v>
      </c>
    </row>
    <row r="53" spans="1:20" x14ac:dyDescent="0.2">
      <c r="A53" s="290"/>
      <c r="B53" s="290"/>
      <c r="E53" s="434"/>
      <c r="F53" s="435"/>
      <c r="G53" s="435"/>
      <c r="H53" s="435"/>
      <c r="I53" s="435"/>
      <c r="J53" s="435"/>
      <c r="K53" s="435"/>
      <c r="L53" s="435"/>
      <c r="M53" s="435"/>
      <c r="N53" s="436"/>
      <c r="S53" s="95" t="s">
        <v>197</v>
      </c>
      <c r="T53" s="301">
        <v>47200</v>
      </c>
    </row>
    <row r="54" spans="1:20" x14ac:dyDescent="0.2">
      <c r="A54" s="290"/>
      <c r="B54" s="290"/>
      <c r="E54" s="434"/>
      <c r="F54" s="435"/>
      <c r="G54" s="435"/>
      <c r="H54" s="435"/>
      <c r="I54" s="435"/>
      <c r="J54" s="435"/>
      <c r="K54" s="435"/>
      <c r="L54" s="435"/>
      <c r="M54" s="435"/>
      <c r="N54" s="436"/>
      <c r="S54" s="95" t="s">
        <v>198</v>
      </c>
      <c r="T54" s="301">
        <v>61800</v>
      </c>
    </row>
    <row r="55" spans="1:20" x14ac:dyDescent="0.2">
      <c r="E55" s="437"/>
      <c r="F55" s="438"/>
      <c r="G55" s="438"/>
      <c r="H55" s="438"/>
      <c r="I55" s="438"/>
      <c r="J55" s="438"/>
      <c r="K55" s="438"/>
      <c r="L55" s="438"/>
      <c r="M55" s="438"/>
      <c r="N55" s="439"/>
      <c r="S55" s="95" t="s">
        <v>199</v>
      </c>
      <c r="T55" s="301">
        <v>52600</v>
      </c>
    </row>
    <row r="56" spans="1:20" x14ac:dyDescent="0.2">
      <c r="S56" s="95" t="s">
        <v>200</v>
      </c>
      <c r="T56" s="301">
        <v>79900</v>
      </c>
    </row>
    <row r="57" spans="1:20" x14ac:dyDescent="0.2">
      <c r="S57" s="95" t="s">
        <v>201</v>
      </c>
      <c r="T57" s="301">
        <v>48800</v>
      </c>
    </row>
    <row r="58" spans="1:20" x14ac:dyDescent="0.2">
      <c r="S58" s="95" t="s">
        <v>202</v>
      </c>
      <c r="T58" s="301">
        <v>56700</v>
      </c>
    </row>
    <row r="59" spans="1:20" x14ac:dyDescent="0.2">
      <c r="S59" s="95" t="s">
        <v>203</v>
      </c>
      <c r="T59" s="301">
        <v>45000</v>
      </c>
    </row>
    <row r="60" spans="1:20" x14ac:dyDescent="0.2">
      <c r="S60" s="95" t="s">
        <v>204</v>
      </c>
      <c r="T60" s="301">
        <v>58200</v>
      </c>
    </row>
    <row r="61" spans="1:20" x14ac:dyDescent="0.2">
      <c r="S61" s="95" t="s">
        <v>205</v>
      </c>
      <c r="T61" s="301">
        <v>50300</v>
      </c>
    </row>
    <row r="62" spans="1:20" x14ac:dyDescent="0.2">
      <c r="S62" s="95" t="s">
        <v>206</v>
      </c>
      <c r="T62" s="301">
        <v>58400</v>
      </c>
    </row>
    <row r="63" spans="1:20" x14ac:dyDescent="0.2">
      <c r="S63" s="95" t="s">
        <v>207</v>
      </c>
      <c r="T63" s="301">
        <v>46000</v>
      </c>
    </row>
    <row r="64" spans="1:20" x14ac:dyDescent="0.2">
      <c r="S64" s="95" t="s">
        <v>208</v>
      </c>
      <c r="T64" s="301">
        <v>50200</v>
      </c>
    </row>
    <row r="65" spans="19:20" x14ac:dyDescent="0.2">
      <c r="S65" s="95" t="s">
        <v>209</v>
      </c>
      <c r="T65" s="301">
        <v>64100</v>
      </c>
    </row>
    <row r="66" spans="19:20" x14ac:dyDescent="0.2">
      <c r="S66" s="95" t="s">
        <v>210</v>
      </c>
      <c r="T66" s="301">
        <v>44300</v>
      </c>
    </row>
    <row r="67" spans="19:20" x14ac:dyDescent="0.2">
      <c r="S67" s="95" t="s">
        <v>211</v>
      </c>
      <c r="T67" s="301">
        <v>46500</v>
      </c>
    </row>
    <row r="68" spans="19:20" x14ac:dyDescent="0.2">
      <c r="S68" s="95" t="s">
        <v>212</v>
      </c>
      <c r="T68" s="301">
        <v>63600</v>
      </c>
    </row>
    <row r="69" spans="19:20" x14ac:dyDescent="0.2">
      <c r="S69" s="95" t="s">
        <v>213</v>
      </c>
      <c r="T69" s="301">
        <v>55300</v>
      </c>
    </row>
    <row r="70" spans="19:20" x14ac:dyDescent="0.2">
      <c r="S70" s="95" t="s">
        <v>214</v>
      </c>
      <c r="T70" s="301">
        <v>62700</v>
      </c>
    </row>
    <row r="71" spans="19:20" x14ac:dyDescent="0.2">
      <c r="S71" s="95" t="s">
        <v>215</v>
      </c>
      <c r="T71" s="301">
        <v>42800</v>
      </c>
    </row>
    <row r="72" spans="19:20" x14ac:dyDescent="0.2">
      <c r="S72" s="95" t="s">
        <v>216</v>
      </c>
      <c r="T72" s="301">
        <v>48800</v>
      </c>
    </row>
    <row r="73" spans="19:20" x14ac:dyDescent="0.2">
      <c r="S73" s="95" t="s">
        <v>217</v>
      </c>
      <c r="T73" s="301">
        <v>67700</v>
      </c>
    </row>
    <row r="74" spans="19:20" x14ac:dyDescent="0.2">
      <c r="S74" s="95" t="s">
        <v>218</v>
      </c>
      <c r="T74" s="301">
        <v>54900</v>
      </c>
    </row>
    <row r="75" spans="19:20" x14ac:dyDescent="0.2">
      <c r="S75" s="95" t="s">
        <v>219</v>
      </c>
      <c r="T75" s="301">
        <v>58200</v>
      </c>
    </row>
    <row r="76" spans="19:20" x14ac:dyDescent="0.2">
      <c r="S76" s="95" t="s">
        <v>220</v>
      </c>
      <c r="T76" s="301">
        <v>57500</v>
      </c>
    </row>
    <row r="77" spans="19:20" x14ac:dyDescent="0.2">
      <c r="S77" s="95" t="s">
        <v>221</v>
      </c>
      <c r="T77" s="301">
        <v>51900</v>
      </c>
    </row>
    <row r="78" spans="19:20" x14ac:dyDescent="0.2">
      <c r="S78" s="95" t="s">
        <v>222</v>
      </c>
      <c r="T78" s="301">
        <v>58200</v>
      </c>
    </row>
    <row r="79" spans="19:20" x14ac:dyDescent="0.2">
      <c r="S79" s="95" t="s">
        <v>223</v>
      </c>
      <c r="T79" s="301">
        <v>57600</v>
      </c>
    </row>
    <row r="80" spans="19:20" x14ac:dyDescent="0.2">
      <c r="S80" s="95" t="s">
        <v>224</v>
      </c>
      <c r="T80" s="301">
        <v>59400</v>
      </c>
    </row>
    <row r="81" spans="19:20" x14ac:dyDescent="0.2">
      <c r="S81" s="95" t="s">
        <v>225</v>
      </c>
      <c r="T81" s="301">
        <v>58000</v>
      </c>
    </row>
    <row r="82" spans="19:20" x14ac:dyDescent="0.2">
      <c r="S82" s="95" t="s">
        <v>226</v>
      </c>
      <c r="T82" s="301">
        <v>41300</v>
      </c>
    </row>
    <row r="83" spans="19:20" x14ac:dyDescent="0.2">
      <c r="S83" s="95" t="s">
        <v>227</v>
      </c>
      <c r="T83" s="301">
        <v>33700</v>
      </c>
    </row>
    <row r="84" spans="19:20" x14ac:dyDescent="0.2">
      <c r="S84" s="95" t="s">
        <v>228</v>
      </c>
      <c r="T84" s="301">
        <v>51000</v>
      </c>
    </row>
    <row r="85" spans="19:20" x14ac:dyDescent="0.2">
      <c r="S85" s="95" t="s">
        <v>229</v>
      </c>
      <c r="T85" s="301">
        <v>57000</v>
      </c>
    </row>
    <row r="86" spans="19:20" x14ac:dyDescent="0.2">
      <c r="S86" s="95" t="s">
        <v>230</v>
      </c>
      <c r="T86" s="301">
        <v>41300</v>
      </c>
    </row>
    <row r="87" spans="19:20" x14ac:dyDescent="0.2">
      <c r="S87" s="95" t="s">
        <v>231</v>
      </c>
      <c r="T87" s="301">
        <v>47100</v>
      </c>
    </row>
    <row r="88" spans="19:20" x14ac:dyDescent="0.2">
      <c r="S88" s="95" t="s">
        <v>232</v>
      </c>
      <c r="T88" s="301">
        <v>39600</v>
      </c>
    </row>
    <row r="89" spans="19:20" x14ac:dyDescent="0.2">
      <c r="S89" s="95" t="s">
        <v>233</v>
      </c>
      <c r="T89" s="301">
        <v>61800</v>
      </c>
    </row>
    <row r="90" spans="19:20" x14ac:dyDescent="0.2">
      <c r="S90" s="95" t="s">
        <v>234</v>
      </c>
      <c r="T90" s="301">
        <v>59500</v>
      </c>
    </row>
    <row r="91" spans="19:20" x14ac:dyDescent="0.2">
      <c r="S91" s="95" t="s">
        <v>235</v>
      </c>
      <c r="T91" s="301">
        <v>48900</v>
      </c>
    </row>
    <row r="92" spans="19:20" x14ac:dyDescent="0.2">
      <c r="S92" s="95" t="s">
        <v>236</v>
      </c>
      <c r="T92" s="301">
        <v>51100</v>
      </c>
    </row>
    <row r="93" spans="19:20" x14ac:dyDescent="0.2">
      <c r="S93" s="95" t="s">
        <v>237</v>
      </c>
      <c r="T93" s="301">
        <v>56700</v>
      </c>
    </row>
    <row r="94" spans="19:20" x14ac:dyDescent="0.2">
      <c r="S94" s="95" t="s">
        <v>238</v>
      </c>
      <c r="T94" s="301">
        <v>40100</v>
      </c>
    </row>
    <row r="95" spans="19:20" x14ac:dyDescent="0.2">
      <c r="S95" s="95" t="s">
        <v>239</v>
      </c>
      <c r="T95" s="301">
        <v>64100</v>
      </c>
    </row>
    <row r="96" spans="19:20" x14ac:dyDescent="0.2">
      <c r="S96" s="95" t="s">
        <v>240</v>
      </c>
      <c r="T96" s="301">
        <v>43600</v>
      </c>
    </row>
    <row r="97" spans="19:20" x14ac:dyDescent="0.2">
      <c r="S97" s="95" t="s">
        <v>241</v>
      </c>
      <c r="T97" s="301">
        <v>79900</v>
      </c>
    </row>
    <row r="98" spans="19:20" x14ac:dyDescent="0.2">
      <c r="S98" s="95" t="s">
        <v>242</v>
      </c>
      <c r="T98" s="301">
        <v>42900</v>
      </c>
    </row>
    <row r="99" spans="19:20" x14ac:dyDescent="0.2">
      <c r="S99" s="95" t="s">
        <v>243</v>
      </c>
      <c r="T99" s="301">
        <v>43600</v>
      </c>
    </row>
    <row r="100" spans="19:20" x14ac:dyDescent="0.2">
      <c r="S100" s="95" t="s">
        <v>244</v>
      </c>
      <c r="T100" s="301">
        <v>59600</v>
      </c>
    </row>
    <row r="101" spans="19:20" x14ac:dyDescent="0.2">
      <c r="S101" s="95" t="s">
        <v>245</v>
      </c>
      <c r="T101" s="301">
        <v>54000</v>
      </c>
    </row>
    <row r="102" spans="19:20" x14ac:dyDescent="0.2">
      <c r="S102" s="95" t="s">
        <v>246</v>
      </c>
      <c r="T102" s="301">
        <v>42500</v>
      </c>
    </row>
    <row r="103" spans="19:20" x14ac:dyDescent="0.2">
      <c r="S103" s="95" t="s">
        <v>247</v>
      </c>
      <c r="T103" s="301">
        <v>45800</v>
      </c>
    </row>
    <row r="104" spans="19:20" x14ac:dyDescent="0.2">
      <c r="S104" s="95" t="s">
        <v>248</v>
      </c>
      <c r="T104" s="301">
        <v>59500</v>
      </c>
    </row>
    <row r="105" spans="19:20" x14ac:dyDescent="0.2">
      <c r="S105" s="95" t="s">
        <v>249</v>
      </c>
      <c r="T105" s="301">
        <v>44900</v>
      </c>
    </row>
  </sheetData>
  <sheetProtection password="E2A2" sheet="1" objects="1" scenarios="1" selectLockedCells="1"/>
  <mergeCells count="7">
    <mergeCell ref="E49:N55"/>
    <mergeCell ref="J44:K44"/>
    <mergeCell ref="C8:F8"/>
    <mergeCell ref="B2:N2"/>
    <mergeCell ref="M11:N11"/>
    <mergeCell ref="B5:C5"/>
    <mergeCell ref="D5:G5"/>
  </mergeCells>
  <phoneticPr fontId="2" type="noConversion"/>
  <conditionalFormatting sqref="F35">
    <cfRule type="cellIs" dxfId="5" priority="1" stopIfTrue="1" operator="notEqual">
      <formula>$O$11</formula>
    </cfRule>
  </conditionalFormatting>
  <dataValidations count="6">
    <dataValidation type="list" showInputMessage="1" showErrorMessage="1" sqref="H40:H44">
      <formula1>$F$45:$F$46</formula1>
    </dataValidation>
    <dataValidation type="list" showInputMessage="1" showErrorMessage="1" sqref="C8:F8">
      <formula1>$S$5:$S$105</formula1>
    </dataValidation>
    <dataValidation type="list" showInputMessage="1" showErrorMessage="1" promptTitle="Select One" sqref="C13:C34">
      <formula1>$C$44:$C$48</formula1>
    </dataValidation>
    <dataValidation type="list" showInputMessage="1" showErrorMessage="1" promptTitle="Select One" sqref="E13:E34">
      <formula1>$E$44:$E$46</formula1>
    </dataValidation>
    <dataValidation type="list" showInputMessage="1" showErrorMessage="1" sqref="B13:B34">
      <formula1>$B$44:$B$50</formula1>
    </dataValidation>
    <dataValidation type="list" showInputMessage="1" showErrorMessage="1" promptTitle="Select One" sqref="D13:D34">
      <formula1>$D$44:$D$51</formula1>
    </dataValidation>
  </dataValidations>
  <pageMargins left="0.25" right="0.25" top="1" bottom="1" header="0.5" footer="0.5"/>
  <pageSetup paperSize="0" scale="85"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2:F77"/>
  <sheetViews>
    <sheetView showGridLines="0" showRowColHeaders="0" zoomScale="85" workbookViewId="0">
      <selection activeCell="F8" sqref="F8"/>
    </sheetView>
  </sheetViews>
  <sheetFormatPr defaultRowHeight="12.75" x14ac:dyDescent="0.2"/>
  <cols>
    <col min="1" max="1" width="4.7109375" style="54" customWidth="1"/>
    <col min="2" max="2" width="12.7109375" style="54" customWidth="1"/>
    <col min="3" max="3" width="11.140625" style="54" customWidth="1"/>
    <col min="4" max="4" width="6.42578125" style="54" customWidth="1"/>
    <col min="5" max="5" width="39.42578125" style="54" customWidth="1"/>
    <col min="6" max="6" width="14.7109375" style="54" customWidth="1"/>
    <col min="7" max="16384" width="9.140625" style="54"/>
  </cols>
  <sheetData>
    <row r="2" spans="2:6" ht="15.75" x14ac:dyDescent="0.25">
      <c r="B2" s="443" t="s">
        <v>147</v>
      </c>
      <c r="C2" s="443"/>
      <c r="D2" s="443"/>
      <c r="E2" s="443"/>
      <c r="F2" s="443"/>
    </row>
    <row r="4" spans="2:6" x14ac:dyDescent="0.2">
      <c r="B4" s="444" t="s">
        <v>0</v>
      </c>
      <c r="C4" s="444"/>
      <c r="F4" s="84" t="s">
        <v>37</v>
      </c>
    </row>
    <row r="5" spans="2:6" x14ac:dyDescent="0.2">
      <c r="B5" s="445" t="str">
        <f>IF(Costs!B6="","",Costs!B6)</f>
        <v/>
      </c>
      <c r="C5" s="445"/>
      <c r="D5" s="445"/>
      <c r="E5" s="83"/>
      <c r="F5" s="76" t="str">
        <f>IF(Costs!F6="","",Costs!F6)</f>
        <v/>
      </c>
    </row>
    <row r="6" spans="2:6" x14ac:dyDescent="0.2">
      <c r="B6" s="82"/>
      <c r="C6" s="82"/>
      <c r="D6" s="82"/>
      <c r="E6" s="82"/>
    </row>
    <row r="7" spans="2:6" ht="12" customHeight="1" x14ac:dyDescent="0.2">
      <c r="B7" s="74"/>
      <c r="C7" s="74"/>
      <c r="D7" s="74"/>
      <c r="E7" s="74"/>
      <c r="F7" s="74"/>
    </row>
    <row r="8" spans="2:6" x14ac:dyDescent="0.2">
      <c r="B8" s="455" t="s">
        <v>75</v>
      </c>
      <c r="C8" s="450" t="s">
        <v>76</v>
      </c>
      <c r="D8" s="450"/>
      <c r="E8" s="450"/>
      <c r="F8" s="77"/>
    </row>
    <row r="9" spans="2:6" x14ac:dyDescent="0.2">
      <c r="B9" s="455"/>
      <c r="C9" s="450" t="s">
        <v>77</v>
      </c>
      <c r="D9" s="450"/>
      <c r="E9" s="450"/>
      <c r="F9" s="77"/>
    </row>
    <row r="10" spans="2:6" x14ac:dyDescent="0.2">
      <c r="B10" s="455"/>
      <c r="C10" s="450" t="s">
        <v>78</v>
      </c>
      <c r="D10" s="450"/>
      <c r="E10" s="450"/>
      <c r="F10" s="77"/>
    </row>
    <row r="11" spans="2:6" x14ac:dyDescent="0.2">
      <c r="B11" s="455"/>
      <c r="C11" s="450" t="s">
        <v>79</v>
      </c>
      <c r="D11" s="450"/>
      <c r="E11" s="450"/>
      <c r="F11" s="77"/>
    </row>
    <row r="12" spans="2:6" x14ac:dyDescent="0.2">
      <c r="B12" s="455"/>
      <c r="C12" s="450" t="s">
        <v>80</v>
      </c>
      <c r="D12" s="450"/>
      <c r="E12" s="450"/>
      <c r="F12" s="77"/>
    </row>
    <row r="13" spans="2:6" x14ac:dyDescent="0.2">
      <c r="B13" s="455"/>
      <c r="C13" s="450" t="s">
        <v>81</v>
      </c>
      <c r="D13" s="450"/>
      <c r="E13" s="450"/>
      <c r="F13" s="77"/>
    </row>
    <row r="14" spans="2:6" x14ac:dyDescent="0.2">
      <c r="B14" s="455"/>
      <c r="C14" s="450" t="s">
        <v>82</v>
      </c>
      <c r="D14" s="450"/>
      <c r="E14" s="450"/>
      <c r="F14" s="77"/>
    </row>
    <row r="15" spans="2:6" x14ac:dyDescent="0.2">
      <c r="B15" s="455"/>
      <c r="C15" s="450" t="s">
        <v>83</v>
      </c>
      <c r="D15" s="450"/>
      <c r="E15" s="450"/>
      <c r="F15" s="77"/>
    </row>
    <row r="16" spans="2:6" x14ac:dyDescent="0.2">
      <c r="B16" s="455"/>
      <c r="C16" s="450" t="s">
        <v>84</v>
      </c>
      <c r="D16" s="450"/>
      <c r="E16" s="450"/>
      <c r="F16" s="77"/>
    </row>
    <row r="17" spans="2:6" x14ac:dyDescent="0.2">
      <c r="B17" s="455"/>
      <c r="C17" s="450" t="s">
        <v>85</v>
      </c>
      <c r="D17" s="450"/>
      <c r="E17" s="450"/>
      <c r="F17" s="77"/>
    </row>
    <row r="18" spans="2:6" x14ac:dyDescent="0.2">
      <c r="B18" s="455"/>
      <c r="C18" s="450" t="s">
        <v>86</v>
      </c>
      <c r="D18" s="450"/>
      <c r="E18" s="450"/>
      <c r="F18" s="77"/>
    </row>
    <row r="19" spans="2:6" x14ac:dyDescent="0.2">
      <c r="B19" s="455"/>
      <c r="C19" s="450" t="s">
        <v>87</v>
      </c>
      <c r="D19" s="450"/>
      <c r="E19" s="450"/>
      <c r="F19" s="77"/>
    </row>
    <row r="20" spans="2:6" x14ac:dyDescent="0.2">
      <c r="B20" s="455"/>
      <c r="C20" s="465" t="s">
        <v>88</v>
      </c>
      <c r="D20" s="465"/>
      <c r="E20" s="465"/>
      <c r="F20" s="77"/>
    </row>
    <row r="21" spans="2:6" x14ac:dyDescent="0.2">
      <c r="B21" s="455"/>
      <c r="C21" s="466" t="s">
        <v>519</v>
      </c>
      <c r="D21" s="467"/>
      <c r="E21" s="467"/>
      <c r="F21" s="79">
        <f>SUM(F8:F20)</f>
        <v>0</v>
      </c>
    </row>
    <row r="22" spans="2:6" x14ac:dyDescent="0.2">
      <c r="B22" s="455" t="s">
        <v>89</v>
      </c>
      <c r="C22" s="456" t="s">
        <v>90</v>
      </c>
      <c r="D22" s="456"/>
      <c r="E22" s="456"/>
      <c r="F22" s="78"/>
    </row>
    <row r="23" spans="2:6" x14ac:dyDescent="0.2">
      <c r="B23" s="455"/>
      <c r="C23" s="450" t="s">
        <v>91</v>
      </c>
      <c r="D23" s="450"/>
      <c r="E23" s="450"/>
      <c r="F23" s="77"/>
    </row>
    <row r="24" spans="2:6" x14ac:dyDescent="0.2">
      <c r="B24" s="455"/>
      <c r="C24" s="450" t="s">
        <v>92</v>
      </c>
      <c r="D24" s="450"/>
      <c r="E24" s="450"/>
      <c r="F24" s="77"/>
    </row>
    <row r="25" spans="2:6" x14ac:dyDescent="0.2">
      <c r="B25" s="455"/>
      <c r="C25" s="450" t="s">
        <v>93</v>
      </c>
      <c r="D25" s="450"/>
      <c r="E25" s="450"/>
      <c r="F25" s="77"/>
    </row>
    <row r="26" spans="2:6" x14ac:dyDescent="0.2">
      <c r="B26" s="455"/>
      <c r="C26" s="450" t="s">
        <v>94</v>
      </c>
      <c r="D26" s="450"/>
      <c r="E26" s="450"/>
      <c r="F26" s="77"/>
    </row>
    <row r="27" spans="2:6" x14ac:dyDescent="0.2">
      <c r="B27" s="455"/>
      <c r="C27" s="453" t="s">
        <v>520</v>
      </c>
      <c r="D27" s="453"/>
      <c r="E27" s="454"/>
      <c r="F27" s="79">
        <f>SUM(F22:F26)</f>
        <v>0</v>
      </c>
    </row>
    <row r="28" spans="2:6" x14ac:dyDescent="0.2">
      <c r="B28" s="455" t="s">
        <v>95</v>
      </c>
      <c r="C28" s="456" t="s">
        <v>96</v>
      </c>
      <c r="D28" s="456"/>
      <c r="E28" s="456"/>
      <c r="F28" s="78"/>
    </row>
    <row r="29" spans="2:6" x14ac:dyDescent="0.2">
      <c r="B29" s="455"/>
      <c r="C29" s="452" t="s">
        <v>97</v>
      </c>
      <c r="D29" s="463"/>
      <c r="E29" s="451"/>
      <c r="F29" s="77"/>
    </row>
    <row r="30" spans="2:6" x14ac:dyDescent="0.2">
      <c r="B30" s="455"/>
      <c r="C30" s="450" t="s">
        <v>98</v>
      </c>
      <c r="D30" s="450"/>
      <c r="E30" s="450"/>
      <c r="F30" s="77"/>
    </row>
    <row r="31" spans="2:6" x14ac:dyDescent="0.2">
      <c r="B31" s="455"/>
      <c r="C31" s="450" t="s">
        <v>99</v>
      </c>
      <c r="D31" s="450"/>
      <c r="E31" s="450"/>
      <c r="F31" s="77"/>
    </row>
    <row r="32" spans="2:6" x14ac:dyDescent="0.2">
      <c r="B32" s="455"/>
      <c r="C32" s="450" t="s">
        <v>100</v>
      </c>
      <c r="D32" s="450"/>
      <c r="E32" s="450"/>
      <c r="F32" s="77"/>
    </row>
    <row r="33" spans="2:6" x14ac:dyDescent="0.2">
      <c r="B33" s="455"/>
      <c r="C33" s="450" t="s">
        <v>101</v>
      </c>
      <c r="D33" s="450"/>
      <c r="E33" s="450"/>
      <c r="F33" s="77"/>
    </row>
    <row r="34" spans="2:6" x14ac:dyDescent="0.2">
      <c r="B34" s="455"/>
      <c r="C34" s="450" t="s">
        <v>102</v>
      </c>
      <c r="D34" s="450"/>
      <c r="E34" s="450"/>
      <c r="F34" s="77"/>
    </row>
    <row r="35" spans="2:6" x14ac:dyDescent="0.2">
      <c r="B35" s="455"/>
      <c r="C35" s="450" t="s">
        <v>103</v>
      </c>
      <c r="D35" s="450"/>
      <c r="E35" s="450"/>
      <c r="F35" s="77"/>
    </row>
    <row r="36" spans="2:6" x14ac:dyDescent="0.2">
      <c r="B36" s="455"/>
      <c r="C36" s="450" t="s">
        <v>104</v>
      </c>
      <c r="D36" s="450"/>
      <c r="E36" s="450"/>
      <c r="F36" s="77"/>
    </row>
    <row r="37" spans="2:6" x14ac:dyDescent="0.2">
      <c r="B37" s="455"/>
      <c r="C37" s="450" t="s">
        <v>105</v>
      </c>
      <c r="D37" s="450"/>
      <c r="E37" s="450"/>
      <c r="F37" s="77"/>
    </row>
    <row r="38" spans="2:6" x14ac:dyDescent="0.2">
      <c r="B38" s="455"/>
      <c r="C38" s="450" t="s">
        <v>106</v>
      </c>
      <c r="D38" s="450"/>
      <c r="E38" s="450"/>
      <c r="F38" s="77"/>
    </row>
    <row r="39" spans="2:6" x14ac:dyDescent="0.2">
      <c r="B39" s="455"/>
      <c r="C39" s="450" t="s">
        <v>107</v>
      </c>
      <c r="D39" s="450"/>
      <c r="E39" s="450"/>
      <c r="F39" s="77"/>
    </row>
    <row r="40" spans="2:6" x14ac:dyDescent="0.2">
      <c r="B40" s="455"/>
      <c r="C40" s="450" t="s">
        <v>108</v>
      </c>
      <c r="D40" s="450"/>
      <c r="E40" s="450"/>
      <c r="F40" s="77"/>
    </row>
    <row r="41" spans="2:6" x14ac:dyDescent="0.2">
      <c r="B41" s="455"/>
      <c r="C41" s="450" t="s">
        <v>109</v>
      </c>
      <c r="D41" s="450"/>
      <c r="E41" s="450"/>
      <c r="F41" s="77"/>
    </row>
    <row r="42" spans="2:6" x14ac:dyDescent="0.2">
      <c r="B42" s="455"/>
      <c r="C42" s="450" t="s">
        <v>110</v>
      </c>
      <c r="D42" s="450"/>
      <c r="E42" s="450"/>
      <c r="F42" s="77"/>
    </row>
    <row r="43" spans="2:6" x14ac:dyDescent="0.2">
      <c r="B43" s="455"/>
      <c r="C43" s="450" t="s">
        <v>111</v>
      </c>
      <c r="D43" s="450"/>
      <c r="E43" s="450"/>
      <c r="F43" s="77"/>
    </row>
    <row r="44" spans="2:6" x14ac:dyDescent="0.2">
      <c r="B44" s="455"/>
      <c r="C44" s="450" t="s">
        <v>112</v>
      </c>
      <c r="D44" s="450"/>
      <c r="E44" s="450"/>
      <c r="F44" s="77"/>
    </row>
    <row r="45" spans="2:6" x14ac:dyDescent="0.2">
      <c r="B45" s="455"/>
      <c r="C45" s="450" t="s">
        <v>113</v>
      </c>
      <c r="D45" s="450"/>
      <c r="E45" s="450"/>
      <c r="F45" s="77"/>
    </row>
    <row r="46" spans="2:6" x14ac:dyDescent="0.2">
      <c r="B46" s="455"/>
      <c r="C46" s="450" t="s">
        <v>114</v>
      </c>
      <c r="D46" s="450"/>
      <c r="E46" s="450"/>
      <c r="F46" s="77"/>
    </row>
    <row r="47" spans="2:6" x14ac:dyDescent="0.2">
      <c r="B47" s="455"/>
      <c r="C47" s="464" t="s">
        <v>115</v>
      </c>
      <c r="D47" s="464"/>
      <c r="E47" s="464"/>
      <c r="F47" s="77"/>
    </row>
    <row r="48" spans="2:6" x14ac:dyDescent="0.2">
      <c r="B48" s="455"/>
      <c r="C48" s="450" t="s">
        <v>116</v>
      </c>
      <c r="D48" s="450"/>
      <c r="E48" s="450"/>
      <c r="F48" s="77"/>
    </row>
    <row r="49" spans="2:6" x14ac:dyDescent="0.2">
      <c r="B49" s="455"/>
      <c r="C49" s="453" t="s">
        <v>521</v>
      </c>
      <c r="D49" s="453"/>
      <c r="E49" s="454"/>
      <c r="F49" s="79">
        <f>SUM(F28:F48)</f>
        <v>0</v>
      </c>
    </row>
    <row r="50" spans="2:6" x14ac:dyDescent="0.2">
      <c r="B50" s="455" t="s">
        <v>117</v>
      </c>
      <c r="C50" s="456" t="s">
        <v>118</v>
      </c>
      <c r="D50" s="456"/>
      <c r="E50" s="456"/>
      <c r="F50" s="78"/>
    </row>
    <row r="51" spans="2:6" x14ac:dyDescent="0.2">
      <c r="B51" s="455"/>
      <c r="C51" s="450" t="s">
        <v>119</v>
      </c>
      <c r="D51" s="450"/>
      <c r="E51" s="450"/>
      <c r="F51" s="77"/>
    </row>
    <row r="52" spans="2:6" x14ac:dyDescent="0.2">
      <c r="B52" s="455"/>
      <c r="C52" s="450" t="s">
        <v>120</v>
      </c>
      <c r="D52" s="450"/>
      <c r="E52" s="450"/>
      <c r="F52" s="77"/>
    </row>
    <row r="53" spans="2:6" x14ac:dyDescent="0.2">
      <c r="B53" s="455"/>
      <c r="C53" s="450" t="s">
        <v>121</v>
      </c>
      <c r="D53" s="450"/>
      <c r="E53" s="450"/>
      <c r="F53" s="77"/>
    </row>
    <row r="54" spans="2:6" x14ac:dyDescent="0.2">
      <c r="B54" s="455"/>
      <c r="C54" s="450" t="s">
        <v>122</v>
      </c>
      <c r="D54" s="450"/>
      <c r="E54" s="450"/>
      <c r="F54" s="77"/>
    </row>
    <row r="55" spans="2:6" x14ac:dyDescent="0.2">
      <c r="B55" s="455"/>
      <c r="C55" s="450" t="s">
        <v>123</v>
      </c>
      <c r="D55" s="450"/>
      <c r="E55" s="450"/>
      <c r="F55" s="77"/>
    </row>
    <row r="56" spans="2:6" x14ac:dyDescent="0.2">
      <c r="B56" s="455"/>
      <c r="C56" s="450" t="s">
        <v>124</v>
      </c>
      <c r="D56" s="450"/>
      <c r="E56" s="450"/>
      <c r="F56" s="77"/>
    </row>
    <row r="57" spans="2:6" x14ac:dyDescent="0.2">
      <c r="B57" s="455"/>
      <c r="C57" s="464" t="s">
        <v>125</v>
      </c>
      <c r="D57" s="464"/>
      <c r="E57" s="464"/>
      <c r="F57" s="77"/>
    </row>
    <row r="58" spans="2:6" x14ac:dyDescent="0.2">
      <c r="B58" s="455"/>
      <c r="C58" s="453" t="s">
        <v>522</v>
      </c>
      <c r="D58" s="453"/>
      <c r="E58" s="454"/>
      <c r="F58" s="79">
        <f>SUM(F50:F57)</f>
        <v>0</v>
      </c>
    </row>
    <row r="59" spans="2:6" x14ac:dyDescent="0.2">
      <c r="B59" s="455" t="s">
        <v>126</v>
      </c>
      <c r="C59" s="456" t="s">
        <v>127</v>
      </c>
      <c r="D59" s="456"/>
      <c r="E59" s="456"/>
      <c r="F59" s="78"/>
    </row>
    <row r="60" spans="2:6" x14ac:dyDescent="0.2">
      <c r="B60" s="455"/>
      <c r="C60" s="450" t="s">
        <v>128</v>
      </c>
      <c r="D60" s="450"/>
      <c r="E60" s="450"/>
      <c r="F60" s="77"/>
    </row>
    <row r="61" spans="2:6" x14ac:dyDescent="0.2">
      <c r="B61" s="455"/>
      <c r="C61" s="450" t="s">
        <v>129</v>
      </c>
      <c r="D61" s="450"/>
      <c r="E61" s="450"/>
      <c r="F61" s="77"/>
    </row>
    <row r="62" spans="2:6" x14ac:dyDescent="0.2">
      <c r="B62" s="455"/>
      <c r="C62" s="464" t="s">
        <v>130</v>
      </c>
      <c r="D62" s="464"/>
      <c r="E62" s="464"/>
      <c r="F62" s="77"/>
    </row>
    <row r="63" spans="2:6" x14ac:dyDescent="0.2">
      <c r="B63" s="455"/>
      <c r="C63" s="453" t="s">
        <v>523</v>
      </c>
      <c r="D63" s="453"/>
      <c r="E63" s="454"/>
      <c r="F63" s="79">
        <f>SUM(F59:F62)</f>
        <v>0</v>
      </c>
    </row>
    <row r="64" spans="2:6" x14ac:dyDescent="0.2">
      <c r="B64" s="75" t="s">
        <v>131</v>
      </c>
      <c r="C64" s="456" t="s">
        <v>132</v>
      </c>
      <c r="D64" s="456"/>
      <c r="E64" s="456"/>
      <c r="F64" s="78"/>
    </row>
    <row r="65" spans="2:6" x14ac:dyDescent="0.2">
      <c r="B65" s="458"/>
      <c r="C65" s="453" t="s">
        <v>524</v>
      </c>
      <c r="D65" s="453"/>
      <c r="E65" s="454"/>
      <c r="F65" s="79">
        <f>SUM(F21+F27+F49+F58+SuppSvcExp)+F64</f>
        <v>0</v>
      </c>
    </row>
    <row r="66" spans="2:6" x14ac:dyDescent="0.2">
      <c r="B66" s="458"/>
      <c r="C66" s="459" t="s">
        <v>133</v>
      </c>
      <c r="D66" s="460"/>
      <c r="E66" s="460"/>
      <c r="F66" s="80">
        <f>IF(ISERR(F65/('Unit Mix'!F35)),0,F65/('Unit Mix'!F35))</f>
        <v>0</v>
      </c>
    </row>
    <row r="67" spans="2:6" x14ac:dyDescent="0.2">
      <c r="B67" s="458"/>
      <c r="C67" s="453" t="s">
        <v>525</v>
      </c>
      <c r="D67" s="453"/>
      <c r="E67" s="453"/>
      <c r="F67" s="243">
        <f>IF(F66=0,0,F66-((ReplcmntReserves+SuppSvcExp+RETaxes)/('Unit Mix'!F35)))</f>
        <v>0</v>
      </c>
    </row>
    <row r="68" spans="2:6" x14ac:dyDescent="0.2">
      <c r="B68" s="355"/>
      <c r="C68" s="355"/>
      <c r="D68" s="355"/>
      <c r="E68" s="355"/>
      <c r="F68" s="355"/>
    </row>
    <row r="69" spans="2:6" x14ac:dyDescent="0.2">
      <c r="B69" s="446" t="s">
        <v>134</v>
      </c>
      <c r="C69" s="450" t="s">
        <v>135</v>
      </c>
      <c r="D69" s="450"/>
      <c r="E69" s="450"/>
      <c r="F69" s="80">
        <f>'Unit Mix'!M35+'Unit Mix'!N35</f>
        <v>0</v>
      </c>
    </row>
    <row r="70" spans="2:6" x14ac:dyDescent="0.2">
      <c r="B70" s="447"/>
      <c r="C70" s="450" t="s">
        <v>552</v>
      </c>
      <c r="D70" s="450"/>
      <c r="E70" s="450"/>
      <c r="F70" s="77"/>
    </row>
    <row r="71" spans="2:6" x14ac:dyDescent="0.2">
      <c r="B71" s="448"/>
      <c r="C71" s="451" t="s">
        <v>136</v>
      </c>
      <c r="D71" s="450"/>
      <c r="E71" s="450"/>
      <c r="F71" s="77"/>
    </row>
    <row r="72" spans="2:6" x14ac:dyDescent="0.2">
      <c r="B72" s="448"/>
      <c r="C72" s="461" t="s">
        <v>137</v>
      </c>
      <c r="D72" s="462"/>
      <c r="E72" s="462"/>
      <c r="F72" s="77"/>
    </row>
    <row r="73" spans="2:6" ht="13.5" customHeight="1" x14ac:dyDescent="0.2">
      <c r="B73" s="448"/>
      <c r="C73" s="452" t="s">
        <v>138</v>
      </c>
      <c r="D73" s="463"/>
      <c r="E73" s="463"/>
      <c r="F73" s="80">
        <f>SUM(F69:F72)</f>
        <v>0</v>
      </c>
    </row>
    <row r="74" spans="2:6" ht="13.5" customHeight="1" x14ac:dyDescent="0.2">
      <c r="B74" s="448"/>
      <c r="C74" s="452" t="s">
        <v>139</v>
      </c>
      <c r="D74" s="463"/>
      <c r="E74" s="463"/>
      <c r="F74" s="81">
        <f>F73*0.07</f>
        <v>0</v>
      </c>
    </row>
    <row r="75" spans="2:6" ht="12.75" customHeight="1" x14ac:dyDescent="0.2">
      <c r="B75" s="448"/>
      <c r="C75" s="450" t="s">
        <v>140</v>
      </c>
      <c r="D75" s="450"/>
      <c r="E75" s="452"/>
      <c r="F75" s="80">
        <f>F73-F74</f>
        <v>0</v>
      </c>
    </row>
    <row r="76" spans="2:6" ht="13.5" customHeight="1" x14ac:dyDescent="0.2">
      <c r="B76" s="449"/>
      <c r="C76" s="450" t="s">
        <v>141</v>
      </c>
      <c r="D76" s="450"/>
      <c r="E76" s="452"/>
      <c r="F76" s="80">
        <f>F75-F65</f>
        <v>0</v>
      </c>
    </row>
    <row r="77" spans="2:6" x14ac:dyDescent="0.2">
      <c r="C77" s="457"/>
      <c r="D77" s="457"/>
      <c r="E77" s="457"/>
    </row>
  </sheetData>
  <sheetProtection password="B2A8" sheet="1" objects="1" scenarios="1" selectLockedCells="1"/>
  <mergeCells count="79">
    <mergeCell ref="C10:E10"/>
    <mergeCell ref="C15:E15"/>
    <mergeCell ref="C11:E11"/>
    <mergeCell ref="C12:E12"/>
    <mergeCell ref="C13:E13"/>
    <mergeCell ref="C14:E14"/>
    <mergeCell ref="C20:E20"/>
    <mergeCell ref="C21:E21"/>
    <mergeCell ref="B22:B27"/>
    <mergeCell ref="C22:E22"/>
    <mergeCell ref="C23:E23"/>
    <mergeCell ref="C24:E24"/>
    <mergeCell ref="C25:E25"/>
    <mergeCell ref="C26:E26"/>
    <mergeCell ref="C27:E27"/>
    <mergeCell ref="B8:B21"/>
    <mergeCell ref="C16:E16"/>
    <mergeCell ref="C17:E17"/>
    <mergeCell ref="C18:E18"/>
    <mergeCell ref="C19:E19"/>
    <mergeCell ref="C8:E8"/>
    <mergeCell ref="C9:E9"/>
    <mergeCell ref="B28:B49"/>
    <mergeCell ref="C28:E28"/>
    <mergeCell ref="C29:E29"/>
    <mergeCell ref="C30:E30"/>
    <mergeCell ref="C31:E31"/>
    <mergeCell ref="C32:E32"/>
    <mergeCell ref="C33:E33"/>
    <mergeCell ref="C34:E34"/>
    <mergeCell ref="C35:E35"/>
    <mergeCell ref="C36:E36"/>
    <mergeCell ref="C41:E41"/>
    <mergeCell ref="C42:E42"/>
    <mergeCell ref="C43:E43"/>
    <mergeCell ref="C44:E44"/>
    <mergeCell ref="C37:E37"/>
    <mergeCell ref="C38:E38"/>
    <mergeCell ref="C45:E45"/>
    <mergeCell ref="C46:E46"/>
    <mergeCell ref="C47:E47"/>
    <mergeCell ref="C48:E48"/>
    <mergeCell ref="C39:E39"/>
    <mergeCell ref="C40:E40"/>
    <mergeCell ref="C61:E61"/>
    <mergeCell ref="C62:E62"/>
    <mergeCell ref="C63:E63"/>
    <mergeCell ref="C49:E49"/>
    <mergeCell ref="C57:E57"/>
    <mergeCell ref="C54:E54"/>
    <mergeCell ref="C55:E55"/>
    <mergeCell ref="C56:E56"/>
    <mergeCell ref="C77:E77"/>
    <mergeCell ref="C64:E64"/>
    <mergeCell ref="B65:B67"/>
    <mergeCell ref="C65:E65"/>
    <mergeCell ref="C66:E66"/>
    <mergeCell ref="C67:E67"/>
    <mergeCell ref="C72:E72"/>
    <mergeCell ref="C73:E73"/>
    <mergeCell ref="C74:E74"/>
    <mergeCell ref="C75:E75"/>
    <mergeCell ref="C70:E70"/>
    <mergeCell ref="B2:F2"/>
    <mergeCell ref="B4:C4"/>
    <mergeCell ref="B5:D5"/>
    <mergeCell ref="B69:B76"/>
    <mergeCell ref="C69:E69"/>
    <mergeCell ref="C71:E71"/>
    <mergeCell ref="C76:E76"/>
    <mergeCell ref="C58:E58"/>
    <mergeCell ref="B59:B63"/>
    <mergeCell ref="C59:E59"/>
    <mergeCell ref="B50:B58"/>
    <mergeCell ref="C50:E50"/>
    <mergeCell ref="C51:E51"/>
    <mergeCell ref="C52:E52"/>
    <mergeCell ref="C53:E53"/>
    <mergeCell ref="C60:E60"/>
  </mergeCells>
  <phoneticPr fontId="2" type="noConversion"/>
  <printOptions horizontalCentered="1"/>
  <pageMargins left="0.75" right="0.75" top="1" bottom="1" header="0.5" footer="0.5"/>
  <pageSetup scale="65"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B1:AG100"/>
  <sheetViews>
    <sheetView showGridLines="0" showRowColHeaders="0" zoomScale="75" workbookViewId="0">
      <selection activeCell="D24" sqref="D24"/>
    </sheetView>
  </sheetViews>
  <sheetFormatPr defaultRowHeight="12.75" x14ac:dyDescent="0.2"/>
  <cols>
    <col min="1" max="1" width="4.7109375" style="54" customWidth="1"/>
    <col min="2" max="2" width="16" style="54" customWidth="1"/>
    <col min="3" max="3" width="23" style="54" customWidth="1"/>
    <col min="4" max="33" width="11.28515625" style="54" customWidth="1"/>
    <col min="34" max="16384" width="9.140625" style="54"/>
  </cols>
  <sheetData>
    <row r="1" spans="2:33" ht="15.75" x14ac:dyDescent="0.25">
      <c r="B1" s="153"/>
      <c r="C1" s="153"/>
    </row>
    <row r="2" spans="2:33" ht="15.75" x14ac:dyDescent="0.25">
      <c r="B2" s="155" t="s">
        <v>0</v>
      </c>
      <c r="C2" s="155"/>
      <c r="F2" s="169" t="s">
        <v>37</v>
      </c>
      <c r="G2" s="169"/>
      <c r="H2" s="169"/>
    </row>
    <row r="3" spans="2:33" ht="15.75" x14ac:dyDescent="0.25">
      <c r="B3" s="471" t="str">
        <f>IF(Costs!B6="","",Costs!B6)</f>
        <v/>
      </c>
      <c r="C3" s="471"/>
      <c r="F3" s="168" t="str">
        <f>IF(Costs!F6="","",Costs!F6)</f>
        <v/>
      </c>
      <c r="G3" s="219"/>
      <c r="H3" s="156"/>
    </row>
    <row r="4" spans="2:33" ht="15.75" x14ac:dyDescent="0.25">
      <c r="B4" s="157"/>
      <c r="C4" s="157"/>
      <c r="F4" s="62"/>
      <c r="G4" s="62"/>
      <c r="H4" s="156"/>
    </row>
    <row r="5" spans="2:33" ht="16.5" customHeight="1" x14ac:dyDescent="0.25">
      <c r="B5" s="170"/>
      <c r="C5" s="170"/>
      <c r="D5" s="171"/>
      <c r="E5" s="172"/>
      <c r="F5" s="173"/>
      <c r="G5" s="173"/>
      <c r="H5" s="173"/>
      <c r="I5" s="173"/>
      <c r="J5" s="173"/>
      <c r="K5" s="48"/>
      <c r="L5" s="48"/>
      <c r="M5" s="48"/>
      <c r="N5" s="48"/>
      <c r="O5" s="48"/>
      <c r="P5" s="48"/>
      <c r="Q5" s="48"/>
      <c r="R5" s="48"/>
      <c r="S5" s="51"/>
      <c r="T5" s="48"/>
      <c r="U5" s="48"/>
      <c r="V5" s="48"/>
      <c r="W5" s="48"/>
      <c r="X5" s="48"/>
      <c r="Y5" s="48"/>
      <c r="Z5" s="48"/>
      <c r="AA5" s="48"/>
      <c r="AB5" s="48"/>
      <c r="AC5" s="48"/>
      <c r="AD5" s="48"/>
      <c r="AE5" s="48"/>
      <c r="AF5" s="48"/>
      <c r="AG5" s="48"/>
    </row>
    <row r="6" spans="2:33" ht="15.75" x14ac:dyDescent="0.25">
      <c r="B6" s="174" t="s">
        <v>329</v>
      </c>
      <c r="C6" s="175">
        <v>0.02</v>
      </c>
      <c r="D6" s="176" t="s">
        <v>256</v>
      </c>
      <c r="E6" s="176" t="s">
        <v>257</v>
      </c>
      <c r="F6" s="176" t="s">
        <v>258</v>
      </c>
      <c r="G6" s="176" t="s">
        <v>259</v>
      </c>
      <c r="H6" s="176" t="s">
        <v>260</v>
      </c>
      <c r="I6" s="176" t="s">
        <v>261</v>
      </c>
      <c r="J6" s="176" t="s">
        <v>262</v>
      </c>
      <c r="K6" s="176" t="s">
        <v>263</v>
      </c>
      <c r="L6" s="176" t="s">
        <v>264</v>
      </c>
      <c r="M6" s="176" t="s">
        <v>265</v>
      </c>
      <c r="N6" s="176" t="s">
        <v>266</v>
      </c>
      <c r="O6" s="176" t="s">
        <v>267</v>
      </c>
      <c r="P6" s="176" t="s">
        <v>268</v>
      </c>
      <c r="Q6" s="176" t="s">
        <v>269</v>
      </c>
      <c r="R6" s="176" t="s">
        <v>270</v>
      </c>
      <c r="S6" s="176" t="s">
        <v>271</v>
      </c>
      <c r="T6" s="176" t="s">
        <v>272</v>
      </c>
      <c r="U6" s="176" t="s">
        <v>273</v>
      </c>
      <c r="V6" s="176" t="s">
        <v>274</v>
      </c>
      <c r="W6" s="176" t="s">
        <v>275</v>
      </c>
      <c r="X6" s="176" t="s">
        <v>276</v>
      </c>
      <c r="Y6" s="176" t="s">
        <v>277</v>
      </c>
      <c r="Z6" s="176" t="s">
        <v>278</v>
      </c>
      <c r="AA6" s="176" t="s">
        <v>279</v>
      </c>
      <c r="AB6" s="176" t="s">
        <v>280</v>
      </c>
      <c r="AC6" s="176" t="s">
        <v>281</v>
      </c>
      <c r="AD6" s="176" t="s">
        <v>282</v>
      </c>
      <c r="AE6" s="176" t="s">
        <v>283</v>
      </c>
      <c r="AF6" s="176" t="s">
        <v>284</v>
      </c>
      <c r="AG6" s="177" t="s">
        <v>285</v>
      </c>
    </row>
    <row r="7" spans="2:33" ht="15.75" x14ac:dyDescent="0.25">
      <c r="B7" s="178" t="s">
        <v>330</v>
      </c>
      <c r="C7" s="179">
        <v>0.03</v>
      </c>
      <c r="AG7" s="180"/>
    </row>
    <row r="8" spans="2:33" ht="15.75" x14ac:dyDescent="0.25">
      <c r="B8" s="181" t="s">
        <v>286</v>
      </c>
      <c r="D8" s="103">
        <f>'Unit Mix'!M35</f>
        <v>0</v>
      </c>
      <c r="E8" s="103">
        <f>D8*(1+$C$6)</f>
        <v>0</v>
      </c>
      <c r="F8" s="103">
        <f>E8*(1+$C$6)</f>
        <v>0</v>
      </c>
      <c r="G8" s="103">
        <f>F8*(1+$C$6)</f>
        <v>0</v>
      </c>
      <c r="H8" s="103">
        <f t="shared" ref="H8:AG8" si="0">G8*(1+$C$6)</f>
        <v>0</v>
      </c>
      <c r="I8" s="103">
        <f t="shared" si="0"/>
        <v>0</v>
      </c>
      <c r="J8" s="103">
        <f t="shared" si="0"/>
        <v>0</v>
      </c>
      <c r="K8" s="103">
        <f t="shared" si="0"/>
        <v>0</v>
      </c>
      <c r="L8" s="103">
        <f t="shared" si="0"/>
        <v>0</v>
      </c>
      <c r="M8" s="103">
        <f t="shared" si="0"/>
        <v>0</v>
      </c>
      <c r="N8" s="103">
        <f t="shared" si="0"/>
        <v>0</v>
      </c>
      <c r="O8" s="103">
        <f t="shared" si="0"/>
        <v>0</v>
      </c>
      <c r="P8" s="103">
        <f t="shared" si="0"/>
        <v>0</v>
      </c>
      <c r="Q8" s="103">
        <f t="shared" si="0"/>
        <v>0</v>
      </c>
      <c r="R8" s="103">
        <f t="shared" si="0"/>
        <v>0</v>
      </c>
      <c r="S8" s="103">
        <f t="shared" si="0"/>
        <v>0</v>
      </c>
      <c r="T8" s="103">
        <f t="shared" si="0"/>
        <v>0</v>
      </c>
      <c r="U8" s="103">
        <f t="shared" si="0"/>
        <v>0</v>
      </c>
      <c r="V8" s="103">
        <f t="shared" si="0"/>
        <v>0</v>
      </c>
      <c r="W8" s="103">
        <f t="shared" si="0"/>
        <v>0</v>
      </c>
      <c r="X8" s="103">
        <f t="shared" si="0"/>
        <v>0</v>
      </c>
      <c r="Y8" s="103">
        <f t="shared" si="0"/>
        <v>0</v>
      </c>
      <c r="Z8" s="103">
        <f t="shared" si="0"/>
        <v>0</v>
      </c>
      <c r="AA8" s="103">
        <f t="shared" si="0"/>
        <v>0</v>
      </c>
      <c r="AB8" s="103">
        <f t="shared" si="0"/>
        <v>0</v>
      </c>
      <c r="AC8" s="103">
        <f t="shared" si="0"/>
        <v>0</v>
      </c>
      <c r="AD8" s="103">
        <f t="shared" si="0"/>
        <v>0</v>
      </c>
      <c r="AE8" s="103">
        <f t="shared" si="0"/>
        <v>0</v>
      </c>
      <c r="AF8" s="103">
        <f t="shared" si="0"/>
        <v>0</v>
      </c>
      <c r="AG8" s="104">
        <f t="shared" si="0"/>
        <v>0</v>
      </c>
    </row>
    <row r="9" spans="2:33" ht="15.75" x14ac:dyDescent="0.25">
      <c r="B9" s="182" t="s">
        <v>340</v>
      </c>
      <c r="D9" s="103">
        <f>'Unit Mix'!N35</f>
        <v>0</v>
      </c>
      <c r="E9" s="103">
        <f>D9*1.015</f>
        <v>0</v>
      </c>
      <c r="F9" s="103">
        <f>E9*1.015</f>
        <v>0</v>
      </c>
      <c r="G9" s="103">
        <f t="shared" ref="G9:AG9" si="1">F9*1.015</f>
        <v>0</v>
      </c>
      <c r="H9" s="103">
        <f t="shared" si="1"/>
        <v>0</v>
      </c>
      <c r="I9" s="103">
        <f t="shared" si="1"/>
        <v>0</v>
      </c>
      <c r="J9" s="103">
        <f t="shared" si="1"/>
        <v>0</v>
      </c>
      <c r="K9" s="103">
        <f t="shared" si="1"/>
        <v>0</v>
      </c>
      <c r="L9" s="103">
        <f t="shared" si="1"/>
        <v>0</v>
      </c>
      <c r="M9" s="103">
        <f t="shared" si="1"/>
        <v>0</v>
      </c>
      <c r="N9" s="103">
        <f t="shared" si="1"/>
        <v>0</v>
      </c>
      <c r="O9" s="103">
        <f t="shared" si="1"/>
        <v>0</v>
      </c>
      <c r="P9" s="103">
        <f t="shared" si="1"/>
        <v>0</v>
      </c>
      <c r="Q9" s="103">
        <f t="shared" si="1"/>
        <v>0</v>
      </c>
      <c r="R9" s="103">
        <f t="shared" si="1"/>
        <v>0</v>
      </c>
      <c r="S9" s="103">
        <f t="shared" si="1"/>
        <v>0</v>
      </c>
      <c r="T9" s="103">
        <f t="shared" si="1"/>
        <v>0</v>
      </c>
      <c r="U9" s="103">
        <f t="shared" si="1"/>
        <v>0</v>
      </c>
      <c r="V9" s="103">
        <f t="shared" si="1"/>
        <v>0</v>
      </c>
      <c r="W9" s="103">
        <f t="shared" si="1"/>
        <v>0</v>
      </c>
      <c r="X9" s="103">
        <f t="shared" si="1"/>
        <v>0</v>
      </c>
      <c r="Y9" s="103">
        <f t="shared" si="1"/>
        <v>0</v>
      </c>
      <c r="Z9" s="103">
        <f t="shared" si="1"/>
        <v>0</v>
      </c>
      <c r="AA9" s="103">
        <f t="shared" si="1"/>
        <v>0</v>
      </c>
      <c r="AB9" s="103">
        <f t="shared" si="1"/>
        <v>0</v>
      </c>
      <c r="AC9" s="103">
        <f t="shared" si="1"/>
        <v>0</v>
      </c>
      <c r="AD9" s="103">
        <f t="shared" si="1"/>
        <v>0</v>
      </c>
      <c r="AE9" s="103">
        <f t="shared" si="1"/>
        <v>0</v>
      </c>
      <c r="AF9" s="103">
        <f t="shared" si="1"/>
        <v>0</v>
      </c>
      <c r="AG9" s="104">
        <f t="shared" si="1"/>
        <v>0</v>
      </c>
    </row>
    <row r="10" spans="2:33" ht="15.75" x14ac:dyDescent="0.25">
      <c r="B10" s="182" t="s">
        <v>553</v>
      </c>
      <c r="D10" s="183">
        <f>'Op Budg'!F70+'Op Budg'!F71</f>
        <v>0</v>
      </c>
      <c r="E10" s="183">
        <f>D10*(1+$C$6)</f>
        <v>0</v>
      </c>
      <c r="F10" s="183">
        <f t="shared" ref="F10:AG11" si="2">E10*(1+$C$6)</f>
        <v>0</v>
      </c>
      <c r="G10" s="183">
        <f t="shared" si="2"/>
        <v>0</v>
      </c>
      <c r="H10" s="183">
        <f t="shared" si="2"/>
        <v>0</v>
      </c>
      <c r="I10" s="183">
        <f t="shared" si="2"/>
        <v>0</v>
      </c>
      <c r="J10" s="183">
        <f t="shared" si="2"/>
        <v>0</v>
      </c>
      <c r="K10" s="183">
        <f t="shared" si="2"/>
        <v>0</v>
      </c>
      <c r="L10" s="183">
        <f t="shared" si="2"/>
        <v>0</v>
      </c>
      <c r="M10" s="183">
        <f t="shared" si="2"/>
        <v>0</v>
      </c>
      <c r="N10" s="183">
        <f t="shared" si="2"/>
        <v>0</v>
      </c>
      <c r="O10" s="183">
        <f t="shared" si="2"/>
        <v>0</v>
      </c>
      <c r="P10" s="183">
        <f t="shared" si="2"/>
        <v>0</v>
      </c>
      <c r="Q10" s="183">
        <f t="shared" si="2"/>
        <v>0</v>
      </c>
      <c r="R10" s="183">
        <f t="shared" si="2"/>
        <v>0</v>
      </c>
      <c r="S10" s="183">
        <f t="shared" si="2"/>
        <v>0</v>
      </c>
      <c r="T10" s="183">
        <f t="shared" si="2"/>
        <v>0</v>
      </c>
      <c r="U10" s="183">
        <f t="shared" si="2"/>
        <v>0</v>
      </c>
      <c r="V10" s="183">
        <f t="shared" si="2"/>
        <v>0</v>
      </c>
      <c r="W10" s="183">
        <f t="shared" si="2"/>
        <v>0</v>
      </c>
      <c r="X10" s="183">
        <f t="shared" si="2"/>
        <v>0</v>
      </c>
      <c r="Y10" s="183">
        <f t="shared" si="2"/>
        <v>0</v>
      </c>
      <c r="Z10" s="183">
        <f t="shared" si="2"/>
        <v>0</v>
      </c>
      <c r="AA10" s="183">
        <f t="shared" si="2"/>
        <v>0</v>
      </c>
      <c r="AB10" s="183">
        <f t="shared" si="2"/>
        <v>0</v>
      </c>
      <c r="AC10" s="183">
        <f t="shared" si="2"/>
        <v>0</v>
      </c>
      <c r="AD10" s="183">
        <f t="shared" si="2"/>
        <v>0</v>
      </c>
      <c r="AE10" s="183">
        <f t="shared" si="2"/>
        <v>0</v>
      </c>
      <c r="AF10" s="183">
        <f t="shared" si="2"/>
        <v>0</v>
      </c>
      <c r="AG10" s="184">
        <f t="shared" si="2"/>
        <v>0</v>
      </c>
    </row>
    <row r="11" spans="2:33" ht="15.75" x14ac:dyDescent="0.25">
      <c r="B11" s="182" t="s">
        <v>287</v>
      </c>
      <c r="C11" s="55"/>
      <c r="D11" s="105">
        <f>'Op Budg'!F72</f>
        <v>0</v>
      </c>
      <c r="E11" s="105">
        <f>D11*(1+$C$6)</f>
        <v>0</v>
      </c>
      <c r="F11" s="105">
        <f t="shared" si="2"/>
        <v>0</v>
      </c>
      <c r="G11" s="105">
        <f t="shared" si="2"/>
        <v>0</v>
      </c>
      <c r="H11" s="105">
        <f t="shared" si="2"/>
        <v>0</v>
      </c>
      <c r="I11" s="105">
        <f t="shared" si="2"/>
        <v>0</v>
      </c>
      <c r="J11" s="105">
        <f t="shared" si="2"/>
        <v>0</v>
      </c>
      <c r="K11" s="105">
        <f t="shared" si="2"/>
        <v>0</v>
      </c>
      <c r="L11" s="105">
        <f t="shared" si="2"/>
        <v>0</v>
      </c>
      <c r="M11" s="105">
        <f t="shared" si="2"/>
        <v>0</v>
      </c>
      <c r="N11" s="105">
        <f t="shared" si="2"/>
        <v>0</v>
      </c>
      <c r="O11" s="105">
        <f t="shared" si="2"/>
        <v>0</v>
      </c>
      <c r="P11" s="105">
        <f t="shared" si="2"/>
        <v>0</v>
      </c>
      <c r="Q11" s="105">
        <f t="shared" si="2"/>
        <v>0</v>
      </c>
      <c r="R11" s="105">
        <f t="shared" si="2"/>
        <v>0</v>
      </c>
      <c r="S11" s="105">
        <f t="shared" si="2"/>
        <v>0</v>
      </c>
      <c r="T11" s="105">
        <f t="shared" si="2"/>
        <v>0</v>
      </c>
      <c r="U11" s="105">
        <f t="shared" si="2"/>
        <v>0</v>
      </c>
      <c r="V11" s="105">
        <f t="shared" si="2"/>
        <v>0</v>
      </c>
      <c r="W11" s="105">
        <f t="shared" si="2"/>
        <v>0</v>
      </c>
      <c r="X11" s="105">
        <f t="shared" si="2"/>
        <v>0</v>
      </c>
      <c r="Y11" s="105">
        <f t="shared" si="2"/>
        <v>0</v>
      </c>
      <c r="Z11" s="105">
        <f t="shared" si="2"/>
        <v>0</v>
      </c>
      <c r="AA11" s="105">
        <f t="shared" si="2"/>
        <v>0</v>
      </c>
      <c r="AB11" s="105">
        <f t="shared" si="2"/>
        <v>0</v>
      </c>
      <c r="AC11" s="105">
        <f t="shared" si="2"/>
        <v>0</v>
      </c>
      <c r="AD11" s="105">
        <f t="shared" si="2"/>
        <v>0</v>
      </c>
      <c r="AE11" s="105">
        <f t="shared" si="2"/>
        <v>0</v>
      </c>
      <c r="AF11" s="105">
        <f t="shared" si="2"/>
        <v>0</v>
      </c>
      <c r="AG11" s="104">
        <f t="shared" si="2"/>
        <v>0</v>
      </c>
    </row>
    <row r="12" spans="2:33" ht="15.75" x14ac:dyDescent="0.25">
      <c r="B12" s="185" t="s">
        <v>288</v>
      </c>
      <c r="C12" s="186"/>
      <c r="D12" s="106">
        <f>SUM(D8:D11)</f>
        <v>0</v>
      </c>
      <c r="E12" s="106">
        <f t="shared" ref="E12:AG12" si="3">SUM(E8:E11)</f>
        <v>0</v>
      </c>
      <c r="F12" s="106">
        <f t="shared" si="3"/>
        <v>0</v>
      </c>
      <c r="G12" s="106">
        <f t="shared" si="3"/>
        <v>0</v>
      </c>
      <c r="H12" s="106">
        <f t="shared" si="3"/>
        <v>0</v>
      </c>
      <c r="I12" s="106">
        <f t="shared" si="3"/>
        <v>0</v>
      </c>
      <c r="J12" s="106">
        <f t="shared" si="3"/>
        <v>0</v>
      </c>
      <c r="K12" s="106">
        <f t="shared" si="3"/>
        <v>0</v>
      </c>
      <c r="L12" s="106">
        <f t="shared" si="3"/>
        <v>0</v>
      </c>
      <c r="M12" s="106">
        <f t="shared" si="3"/>
        <v>0</v>
      </c>
      <c r="N12" s="106">
        <f t="shared" si="3"/>
        <v>0</v>
      </c>
      <c r="O12" s="106">
        <f t="shared" si="3"/>
        <v>0</v>
      </c>
      <c r="P12" s="106">
        <f t="shared" si="3"/>
        <v>0</v>
      </c>
      <c r="Q12" s="106">
        <f t="shared" si="3"/>
        <v>0</v>
      </c>
      <c r="R12" s="106">
        <f t="shared" si="3"/>
        <v>0</v>
      </c>
      <c r="S12" s="106">
        <f t="shared" si="3"/>
        <v>0</v>
      </c>
      <c r="T12" s="106">
        <f t="shared" si="3"/>
        <v>0</v>
      </c>
      <c r="U12" s="106">
        <f t="shared" si="3"/>
        <v>0</v>
      </c>
      <c r="V12" s="106">
        <f t="shared" si="3"/>
        <v>0</v>
      </c>
      <c r="W12" s="106">
        <f t="shared" si="3"/>
        <v>0</v>
      </c>
      <c r="X12" s="106">
        <f t="shared" si="3"/>
        <v>0</v>
      </c>
      <c r="Y12" s="106">
        <f t="shared" si="3"/>
        <v>0</v>
      </c>
      <c r="Z12" s="106">
        <f t="shared" si="3"/>
        <v>0</v>
      </c>
      <c r="AA12" s="106">
        <f t="shared" si="3"/>
        <v>0</v>
      </c>
      <c r="AB12" s="106">
        <f t="shared" si="3"/>
        <v>0</v>
      </c>
      <c r="AC12" s="106">
        <f t="shared" si="3"/>
        <v>0</v>
      </c>
      <c r="AD12" s="106">
        <f t="shared" si="3"/>
        <v>0</v>
      </c>
      <c r="AE12" s="106">
        <f t="shared" si="3"/>
        <v>0</v>
      </c>
      <c r="AF12" s="106">
        <f t="shared" si="3"/>
        <v>0</v>
      </c>
      <c r="AG12" s="107">
        <f t="shared" si="3"/>
        <v>0</v>
      </c>
    </row>
    <row r="13" spans="2:33" ht="15.75" x14ac:dyDescent="0.25">
      <c r="B13" s="187" t="s">
        <v>289</v>
      </c>
      <c r="C13" s="152"/>
      <c r="D13" s="108">
        <f>D12*0.07</f>
        <v>0</v>
      </c>
      <c r="E13" s="108">
        <f t="shared" ref="E13:AG13" si="4">E12*0.07</f>
        <v>0</v>
      </c>
      <c r="F13" s="108">
        <f t="shared" si="4"/>
        <v>0</v>
      </c>
      <c r="G13" s="108">
        <f t="shared" si="4"/>
        <v>0</v>
      </c>
      <c r="H13" s="108">
        <f t="shared" si="4"/>
        <v>0</v>
      </c>
      <c r="I13" s="108">
        <f t="shared" si="4"/>
        <v>0</v>
      </c>
      <c r="J13" s="108">
        <f t="shared" si="4"/>
        <v>0</v>
      </c>
      <c r="K13" s="108">
        <f t="shared" si="4"/>
        <v>0</v>
      </c>
      <c r="L13" s="108">
        <f t="shared" si="4"/>
        <v>0</v>
      </c>
      <c r="M13" s="108">
        <f t="shared" si="4"/>
        <v>0</v>
      </c>
      <c r="N13" s="108">
        <f t="shared" si="4"/>
        <v>0</v>
      </c>
      <c r="O13" s="108">
        <f t="shared" si="4"/>
        <v>0</v>
      </c>
      <c r="P13" s="108">
        <f t="shared" si="4"/>
        <v>0</v>
      </c>
      <c r="Q13" s="108">
        <f t="shared" si="4"/>
        <v>0</v>
      </c>
      <c r="R13" s="108">
        <f t="shared" si="4"/>
        <v>0</v>
      </c>
      <c r="S13" s="108">
        <f t="shared" si="4"/>
        <v>0</v>
      </c>
      <c r="T13" s="108">
        <f t="shared" si="4"/>
        <v>0</v>
      </c>
      <c r="U13" s="108">
        <f t="shared" si="4"/>
        <v>0</v>
      </c>
      <c r="V13" s="108">
        <f t="shared" si="4"/>
        <v>0</v>
      </c>
      <c r="W13" s="108">
        <f t="shared" si="4"/>
        <v>0</v>
      </c>
      <c r="X13" s="108">
        <f t="shared" si="4"/>
        <v>0</v>
      </c>
      <c r="Y13" s="108">
        <f t="shared" si="4"/>
        <v>0</v>
      </c>
      <c r="Z13" s="108">
        <f t="shared" si="4"/>
        <v>0</v>
      </c>
      <c r="AA13" s="108">
        <f t="shared" si="4"/>
        <v>0</v>
      </c>
      <c r="AB13" s="108">
        <f t="shared" si="4"/>
        <v>0</v>
      </c>
      <c r="AC13" s="108">
        <f t="shared" si="4"/>
        <v>0</v>
      </c>
      <c r="AD13" s="108">
        <f t="shared" si="4"/>
        <v>0</v>
      </c>
      <c r="AE13" s="108">
        <f t="shared" si="4"/>
        <v>0</v>
      </c>
      <c r="AF13" s="108">
        <f t="shared" si="4"/>
        <v>0</v>
      </c>
      <c r="AG13" s="109">
        <f t="shared" si="4"/>
        <v>0</v>
      </c>
    </row>
    <row r="14" spans="2:33" ht="15.75" x14ac:dyDescent="0.25">
      <c r="B14" s="188" t="s">
        <v>290</v>
      </c>
      <c r="C14" s="189"/>
      <c r="D14" s="110">
        <f>D12-D13</f>
        <v>0</v>
      </c>
      <c r="E14" s="110">
        <f t="shared" ref="E14:AG14" si="5">E12-E13</f>
        <v>0</v>
      </c>
      <c r="F14" s="110">
        <f t="shared" si="5"/>
        <v>0</v>
      </c>
      <c r="G14" s="110">
        <f t="shared" si="5"/>
        <v>0</v>
      </c>
      <c r="H14" s="110">
        <f t="shared" si="5"/>
        <v>0</v>
      </c>
      <c r="I14" s="110">
        <f t="shared" si="5"/>
        <v>0</v>
      </c>
      <c r="J14" s="110">
        <f t="shared" si="5"/>
        <v>0</v>
      </c>
      <c r="K14" s="110">
        <f t="shared" si="5"/>
        <v>0</v>
      </c>
      <c r="L14" s="110">
        <f t="shared" si="5"/>
        <v>0</v>
      </c>
      <c r="M14" s="110">
        <f t="shared" si="5"/>
        <v>0</v>
      </c>
      <c r="N14" s="110">
        <f t="shared" si="5"/>
        <v>0</v>
      </c>
      <c r="O14" s="110">
        <f t="shared" si="5"/>
        <v>0</v>
      </c>
      <c r="P14" s="110">
        <f t="shared" si="5"/>
        <v>0</v>
      </c>
      <c r="Q14" s="110">
        <f t="shared" si="5"/>
        <v>0</v>
      </c>
      <c r="R14" s="110">
        <f t="shared" si="5"/>
        <v>0</v>
      </c>
      <c r="S14" s="110">
        <f t="shared" si="5"/>
        <v>0</v>
      </c>
      <c r="T14" s="110">
        <f t="shared" si="5"/>
        <v>0</v>
      </c>
      <c r="U14" s="110">
        <f t="shared" si="5"/>
        <v>0</v>
      </c>
      <c r="V14" s="110">
        <f t="shared" si="5"/>
        <v>0</v>
      </c>
      <c r="W14" s="110">
        <f t="shared" si="5"/>
        <v>0</v>
      </c>
      <c r="X14" s="110">
        <f t="shared" si="5"/>
        <v>0</v>
      </c>
      <c r="Y14" s="110">
        <f t="shared" si="5"/>
        <v>0</v>
      </c>
      <c r="Z14" s="110">
        <f t="shared" si="5"/>
        <v>0</v>
      </c>
      <c r="AA14" s="110">
        <f t="shared" si="5"/>
        <v>0</v>
      </c>
      <c r="AB14" s="110">
        <f t="shared" si="5"/>
        <v>0</v>
      </c>
      <c r="AC14" s="110">
        <f t="shared" si="5"/>
        <v>0</v>
      </c>
      <c r="AD14" s="110">
        <f t="shared" si="5"/>
        <v>0</v>
      </c>
      <c r="AE14" s="110">
        <f t="shared" si="5"/>
        <v>0</v>
      </c>
      <c r="AF14" s="110">
        <f t="shared" si="5"/>
        <v>0</v>
      </c>
      <c r="AG14" s="111">
        <f t="shared" si="5"/>
        <v>0</v>
      </c>
    </row>
    <row r="15" spans="2:33" ht="15.75" x14ac:dyDescent="0.25">
      <c r="B15" s="182" t="s">
        <v>291</v>
      </c>
      <c r="D15" s="103">
        <f>'Op Budg'!F65-'Op Budg'!ReplcmntReserves</f>
        <v>0</v>
      </c>
      <c r="E15" s="103">
        <f>D15*(1+$C$7)</f>
        <v>0</v>
      </c>
      <c r="F15" s="103">
        <f t="shared" ref="F15:AG15" si="6">E15*(1+$C$7)</f>
        <v>0</v>
      </c>
      <c r="G15" s="103">
        <f t="shared" si="6"/>
        <v>0</v>
      </c>
      <c r="H15" s="103">
        <f t="shared" si="6"/>
        <v>0</v>
      </c>
      <c r="I15" s="103">
        <f t="shared" si="6"/>
        <v>0</v>
      </c>
      <c r="J15" s="103">
        <f t="shared" si="6"/>
        <v>0</v>
      </c>
      <c r="K15" s="103">
        <f t="shared" si="6"/>
        <v>0</v>
      </c>
      <c r="L15" s="103">
        <f t="shared" si="6"/>
        <v>0</v>
      </c>
      <c r="M15" s="103">
        <f t="shared" si="6"/>
        <v>0</v>
      </c>
      <c r="N15" s="103">
        <f t="shared" si="6"/>
        <v>0</v>
      </c>
      <c r="O15" s="103">
        <f t="shared" si="6"/>
        <v>0</v>
      </c>
      <c r="P15" s="103">
        <f t="shared" si="6"/>
        <v>0</v>
      </c>
      <c r="Q15" s="103">
        <f t="shared" si="6"/>
        <v>0</v>
      </c>
      <c r="R15" s="103">
        <f t="shared" si="6"/>
        <v>0</v>
      </c>
      <c r="S15" s="103">
        <f t="shared" si="6"/>
        <v>0</v>
      </c>
      <c r="T15" s="103">
        <f t="shared" si="6"/>
        <v>0</v>
      </c>
      <c r="U15" s="103">
        <f t="shared" si="6"/>
        <v>0</v>
      </c>
      <c r="V15" s="103">
        <f t="shared" si="6"/>
        <v>0</v>
      </c>
      <c r="W15" s="103">
        <f t="shared" si="6"/>
        <v>0</v>
      </c>
      <c r="X15" s="103">
        <f t="shared" si="6"/>
        <v>0</v>
      </c>
      <c r="Y15" s="103">
        <f t="shared" si="6"/>
        <v>0</v>
      </c>
      <c r="Z15" s="103">
        <f t="shared" si="6"/>
        <v>0</v>
      </c>
      <c r="AA15" s="103">
        <f t="shared" si="6"/>
        <v>0</v>
      </c>
      <c r="AB15" s="103">
        <f t="shared" si="6"/>
        <v>0</v>
      </c>
      <c r="AC15" s="103">
        <f t="shared" si="6"/>
        <v>0</v>
      </c>
      <c r="AD15" s="103">
        <f t="shared" si="6"/>
        <v>0</v>
      </c>
      <c r="AE15" s="103">
        <f t="shared" si="6"/>
        <v>0</v>
      </c>
      <c r="AF15" s="103">
        <f t="shared" si="6"/>
        <v>0</v>
      </c>
      <c r="AG15" s="104">
        <f t="shared" si="6"/>
        <v>0</v>
      </c>
    </row>
    <row r="16" spans="2:33" ht="15.75" x14ac:dyDescent="0.25">
      <c r="B16" s="190" t="s">
        <v>292</v>
      </c>
      <c r="D16" s="103">
        <f>'Op Budg'!ReplcmntReserves</f>
        <v>0</v>
      </c>
      <c r="E16" s="103">
        <f>D16*(1.04)</f>
        <v>0</v>
      </c>
      <c r="F16" s="103">
        <f>E16*(1.04)</f>
        <v>0</v>
      </c>
      <c r="G16" s="103">
        <f t="shared" ref="G16:AG16" si="7">F16*(1.04)</f>
        <v>0</v>
      </c>
      <c r="H16" s="103">
        <f t="shared" si="7"/>
        <v>0</v>
      </c>
      <c r="I16" s="103">
        <f t="shared" si="7"/>
        <v>0</v>
      </c>
      <c r="J16" s="103">
        <f t="shared" si="7"/>
        <v>0</v>
      </c>
      <c r="K16" s="103">
        <f t="shared" si="7"/>
        <v>0</v>
      </c>
      <c r="L16" s="103">
        <f t="shared" si="7"/>
        <v>0</v>
      </c>
      <c r="M16" s="103">
        <f t="shared" si="7"/>
        <v>0</v>
      </c>
      <c r="N16" s="103">
        <f t="shared" si="7"/>
        <v>0</v>
      </c>
      <c r="O16" s="103">
        <f t="shared" si="7"/>
        <v>0</v>
      </c>
      <c r="P16" s="103">
        <f t="shared" si="7"/>
        <v>0</v>
      </c>
      <c r="Q16" s="103">
        <f t="shared" si="7"/>
        <v>0</v>
      </c>
      <c r="R16" s="103">
        <f t="shared" si="7"/>
        <v>0</v>
      </c>
      <c r="S16" s="103">
        <f t="shared" si="7"/>
        <v>0</v>
      </c>
      <c r="T16" s="103">
        <f t="shared" si="7"/>
        <v>0</v>
      </c>
      <c r="U16" s="103">
        <f t="shared" si="7"/>
        <v>0</v>
      </c>
      <c r="V16" s="103">
        <f t="shared" si="7"/>
        <v>0</v>
      </c>
      <c r="W16" s="103">
        <f t="shared" si="7"/>
        <v>0</v>
      </c>
      <c r="X16" s="103">
        <f t="shared" si="7"/>
        <v>0</v>
      </c>
      <c r="Y16" s="103">
        <f t="shared" si="7"/>
        <v>0</v>
      </c>
      <c r="Z16" s="103">
        <f t="shared" si="7"/>
        <v>0</v>
      </c>
      <c r="AA16" s="103">
        <f t="shared" si="7"/>
        <v>0</v>
      </c>
      <c r="AB16" s="103">
        <f t="shared" si="7"/>
        <v>0</v>
      </c>
      <c r="AC16" s="103">
        <f t="shared" si="7"/>
        <v>0</v>
      </c>
      <c r="AD16" s="103">
        <f t="shared" si="7"/>
        <v>0</v>
      </c>
      <c r="AE16" s="103">
        <f t="shared" si="7"/>
        <v>0</v>
      </c>
      <c r="AF16" s="103">
        <f t="shared" si="7"/>
        <v>0</v>
      </c>
      <c r="AG16" s="112">
        <f t="shared" si="7"/>
        <v>0</v>
      </c>
    </row>
    <row r="17" spans="2:33" ht="15.75" x14ac:dyDescent="0.25">
      <c r="B17" s="191" t="s">
        <v>293</v>
      </c>
      <c r="C17" s="149"/>
      <c r="D17" s="113">
        <f t="shared" ref="D17:AG17" si="8">D14-SUM(D15:D16)</f>
        <v>0</v>
      </c>
      <c r="E17" s="113">
        <f t="shared" si="8"/>
        <v>0</v>
      </c>
      <c r="F17" s="113">
        <f t="shared" si="8"/>
        <v>0</v>
      </c>
      <c r="G17" s="113">
        <f t="shared" si="8"/>
        <v>0</v>
      </c>
      <c r="H17" s="113">
        <f t="shared" si="8"/>
        <v>0</v>
      </c>
      <c r="I17" s="113">
        <f t="shared" si="8"/>
        <v>0</v>
      </c>
      <c r="J17" s="113">
        <f t="shared" si="8"/>
        <v>0</v>
      </c>
      <c r="K17" s="113">
        <f t="shared" si="8"/>
        <v>0</v>
      </c>
      <c r="L17" s="113">
        <f t="shared" si="8"/>
        <v>0</v>
      </c>
      <c r="M17" s="113">
        <f t="shared" si="8"/>
        <v>0</v>
      </c>
      <c r="N17" s="113">
        <f t="shared" si="8"/>
        <v>0</v>
      </c>
      <c r="O17" s="113">
        <f t="shared" si="8"/>
        <v>0</v>
      </c>
      <c r="P17" s="113">
        <f t="shared" si="8"/>
        <v>0</v>
      </c>
      <c r="Q17" s="113">
        <f t="shared" si="8"/>
        <v>0</v>
      </c>
      <c r="R17" s="113">
        <f t="shared" si="8"/>
        <v>0</v>
      </c>
      <c r="S17" s="113">
        <f t="shared" si="8"/>
        <v>0</v>
      </c>
      <c r="T17" s="113">
        <f t="shared" si="8"/>
        <v>0</v>
      </c>
      <c r="U17" s="113">
        <f t="shared" si="8"/>
        <v>0</v>
      </c>
      <c r="V17" s="113">
        <f t="shared" si="8"/>
        <v>0</v>
      </c>
      <c r="W17" s="113">
        <f t="shared" si="8"/>
        <v>0</v>
      </c>
      <c r="X17" s="113">
        <f t="shared" si="8"/>
        <v>0</v>
      </c>
      <c r="Y17" s="113">
        <f t="shared" si="8"/>
        <v>0</v>
      </c>
      <c r="Z17" s="113">
        <f t="shared" si="8"/>
        <v>0</v>
      </c>
      <c r="AA17" s="113">
        <f t="shared" si="8"/>
        <v>0</v>
      </c>
      <c r="AB17" s="113">
        <f t="shared" si="8"/>
        <v>0</v>
      </c>
      <c r="AC17" s="113">
        <f t="shared" si="8"/>
        <v>0</v>
      </c>
      <c r="AD17" s="113">
        <f t="shared" si="8"/>
        <v>0</v>
      </c>
      <c r="AE17" s="113">
        <f t="shared" si="8"/>
        <v>0</v>
      </c>
      <c r="AF17" s="113">
        <f t="shared" si="8"/>
        <v>0</v>
      </c>
      <c r="AG17" s="114">
        <f t="shared" si="8"/>
        <v>0</v>
      </c>
    </row>
    <row r="18" spans="2:33" ht="15.75" x14ac:dyDescent="0.25">
      <c r="B18" s="182" t="s">
        <v>294</v>
      </c>
      <c r="D18" s="103">
        <f>D39</f>
        <v>0</v>
      </c>
      <c r="E18" s="103">
        <f t="shared" ref="E18:AG18" si="9">E39</f>
        <v>0</v>
      </c>
      <c r="F18" s="103">
        <f t="shared" si="9"/>
        <v>0</v>
      </c>
      <c r="G18" s="103">
        <f t="shared" si="9"/>
        <v>0</v>
      </c>
      <c r="H18" s="103">
        <f t="shared" si="9"/>
        <v>0</v>
      </c>
      <c r="I18" s="103">
        <f t="shared" si="9"/>
        <v>0</v>
      </c>
      <c r="J18" s="103">
        <f t="shared" si="9"/>
        <v>0</v>
      </c>
      <c r="K18" s="103">
        <f t="shared" si="9"/>
        <v>0</v>
      </c>
      <c r="L18" s="103">
        <f t="shared" si="9"/>
        <v>0</v>
      </c>
      <c r="M18" s="103">
        <f t="shared" si="9"/>
        <v>0</v>
      </c>
      <c r="N18" s="103">
        <f t="shared" si="9"/>
        <v>0</v>
      </c>
      <c r="O18" s="103">
        <f t="shared" si="9"/>
        <v>0</v>
      </c>
      <c r="P18" s="103">
        <f t="shared" si="9"/>
        <v>0</v>
      </c>
      <c r="Q18" s="103">
        <f t="shared" si="9"/>
        <v>0</v>
      </c>
      <c r="R18" s="103">
        <f t="shared" si="9"/>
        <v>0</v>
      </c>
      <c r="S18" s="103">
        <f t="shared" si="9"/>
        <v>0</v>
      </c>
      <c r="T18" s="103">
        <f t="shared" si="9"/>
        <v>0</v>
      </c>
      <c r="U18" s="103">
        <f t="shared" si="9"/>
        <v>0</v>
      </c>
      <c r="V18" s="103">
        <f t="shared" si="9"/>
        <v>0</v>
      </c>
      <c r="W18" s="103">
        <f t="shared" si="9"/>
        <v>0</v>
      </c>
      <c r="X18" s="103">
        <f t="shared" si="9"/>
        <v>0</v>
      </c>
      <c r="Y18" s="103">
        <f t="shared" si="9"/>
        <v>0</v>
      </c>
      <c r="Z18" s="103">
        <f t="shared" si="9"/>
        <v>0</v>
      </c>
      <c r="AA18" s="103">
        <f t="shared" si="9"/>
        <v>0</v>
      </c>
      <c r="AB18" s="103">
        <f t="shared" si="9"/>
        <v>0</v>
      </c>
      <c r="AC18" s="103">
        <f t="shared" si="9"/>
        <v>0</v>
      </c>
      <c r="AD18" s="103">
        <f t="shared" si="9"/>
        <v>0</v>
      </c>
      <c r="AE18" s="103">
        <f t="shared" si="9"/>
        <v>0</v>
      </c>
      <c r="AF18" s="103">
        <f t="shared" si="9"/>
        <v>0</v>
      </c>
      <c r="AG18" s="107">
        <f t="shared" si="9"/>
        <v>0</v>
      </c>
    </row>
    <row r="19" spans="2:33" ht="15.75" x14ac:dyDescent="0.25">
      <c r="B19" s="182" t="s">
        <v>295</v>
      </c>
      <c r="D19" s="103">
        <f t="shared" ref="D19:AG19" si="10">D51</f>
        <v>0</v>
      </c>
      <c r="E19" s="103">
        <f t="shared" si="10"/>
        <v>0</v>
      </c>
      <c r="F19" s="103">
        <f t="shared" si="10"/>
        <v>0</v>
      </c>
      <c r="G19" s="103">
        <f t="shared" si="10"/>
        <v>0</v>
      </c>
      <c r="H19" s="103">
        <f t="shared" si="10"/>
        <v>0</v>
      </c>
      <c r="I19" s="103">
        <f t="shared" si="10"/>
        <v>0</v>
      </c>
      <c r="J19" s="103">
        <f t="shared" si="10"/>
        <v>0</v>
      </c>
      <c r="K19" s="103">
        <f t="shared" si="10"/>
        <v>0</v>
      </c>
      <c r="L19" s="103">
        <f t="shared" si="10"/>
        <v>0</v>
      </c>
      <c r="M19" s="103">
        <f t="shared" si="10"/>
        <v>0</v>
      </c>
      <c r="N19" s="103">
        <f t="shared" si="10"/>
        <v>0</v>
      </c>
      <c r="O19" s="103">
        <f t="shared" si="10"/>
        <v>0</v>
      </c>
      <c r="P19" s="103">
        <f t="shared" si="10"/>
        <v>0</v>
      </c>
      <c r="Q19" s="103">
        <f t="shared" si="10"/>
        <v>0</v>
      </c>
      <c r="R19" s="103">
        <f t="shared" si="10"/>
        <v>0</v>
      </c>
      <c r="S19" s="103">
        <f t="shared" si="10"/>
        <v>0</v>
      </c>
      <c r="T19" s="103">
        <f t="shared" si="10"/>
        <v>0</v>
      </c>
      <c r="U19" s="103">
        <f t="shared" si="10"/>
        <v>0</v>
      </c>
      <c r="V19" s="103">
        <f t="shared" si="10"/>
        <v>0</v>
      </c>
      <c r="W19" s="103">
        <f t="shared" si="10"/>
        <v>0</v>
      </c>
      <c r="X19" s="103">
        <f t="shared" si="10"/>
        <v>0</v>
      </c>
      <c r="Y19" s="103">
        <f t="shared" si="10"/>
        <v>0</v>
      </c>
      <c r="Z19" s="103">
        <f t="shared" si="10"/>
        <v>0</v>
      </c>
      <c r="AA19" s="103">
        <f t="shared" si="10"/>
        <v>0</v>
      </c>
      <c r="AB19" s="103">
        <f t="shared" si="10"/>
        <v>0</v>
      </c>
      <c r="AC19" s="103">
        <f t="shared" si="10"/>
        <v>0</v>
      </c>
      <c r="AD19" s="103">
        <f t="shared" si="10"/>
        <v>0</v>
      </c>
      <c r="AE19" s="103">
        <f t="shared" si="10"/>
        <v>0</v>
      </c>
      <c r="AF19" s="103">
        <f t="shared" si="10"/>
        <v>0</v>
      </c>
      <c r="AG19" s="104">
        <f t="shared" si="10"/>
        <v>0</v>
      </c>
    </row>
    <row r="20" spans="2:33" ht="15.75" x14ac:dyDescent="0.25">
      <c r="B20" s="182" t="s">
        <v>296</v>
      </c>
      <c r="D20" s="103">
        <f>D57</f>
        <v>0</v>
      </c>
      <c r="E20" s="103">
        <f t="shared" ref="E20:AG20" si="11">E57</f>
        <v>0</v>
      </c>
      <c r="F20" s="103">
        <f t="shared" si="11"/>
        <v>0</v>
      </c>
      <c r="G20" s="103">
        <f t="shared" si="11"/>
        <v>0</v>
      </c>
      <c r="H20" s="103">
        <f t="shared" si="11"/>
        <v>0</v>
      </c>
      <c r="I20" s="103">
        <f t="shared" si="11"/>
        <v>0</v>
      </c>
      <c r="J20" s="103">
        <f t="shared" si="11"/>
        <v>0</v>
      </c>
      <c r="K20" s="103">
        <f t="shared" si="11"/>
        <v>0</v>
      </c>
      <c r="L20" s="103">
        <f t="shared" si="11"/>
        <v>0</v>
      </c>
      <c r="M20" s="103">
        <f t="shared" si="11"/>
        <v>0</v>
      </c>
      <c r="N20" s="103">
        <f t="shared" si="11"/>
        <v>0</v>
      </c>
      <c r="O20" s="103">
        <f t="shared" si="11"/>
        <v>0</v>
      </c>
      <c r="P20" s="103">
        <f t="shared" si="11"/>
        <v>0</v>
      </c>
      <c r="Q20" s="103">
        <f t="shared" si="11"/>
        <v>0</v>
      </c>
      <c r="R20" s="103">
        <f t="shared" si="11"/>
        <v>0</v>
      </c>
      <c r="S20" s="103">
        <f t="shared" si="11"/>
        <v>0</v>
      </c>
      <c r="T20" s="103">
        <f t="shared" si="11"/>
        <v>0</v>
      </c>
      <c r="U20" s="103">
        <f t="shared" si="11"/>
        <v>0</v>
      </c>
      <c r="V20" s="103">
        <f t="shared" si="11"/>
        <v>0</v>
      </c>
      <c r="W20" s="103">
        <f t="shared" si="11"/>
        <v>0</v>
      </c>
      <c r="X20" s="103">
        <f t="shared" si="11"/>
        <v>0</v>
      </c>
      <c r="Y20" s="103">
        <f t="shared" si="11"/>
        <v>0</v>
      </c>
      <c r="Z20" s="103">
        <f t="shared" si="11"/>
        <v>0</v>
      </c>
      <c r="AA20" s="103">
        <f t="shared" si="11"/>
        <v>0</v>
      </c>
      <c r="AB20" s="103">
        <f t="shared" si="11"/>
        <v>0</v>
      </c>
      <c r="AC20" s="103">
        <f t="shared" si="11"/>
        <v>0</v>
      </c>
      <c r="AD20" s="103">
        <f t="shared" si="11"/>
        <v>0</v>
      </c>
      <c r="AE20" s="103">
        <f t="shared" si="11"/>
        <v>0</v>
      </c>
      <c r="AF20" s="103">
        <f t="shared" si="11"/>
        <v>0</v>
      </c>
      <c r="AG20" s="104">
        <f t="shared" si="11"/>
        <v>0</v>
      </c>
    </row>
    <row r="21" spans="2:33" ht="15.75" x14ac:dyDescent="0.25">
      <c r="B21" s="182" t="s">
        <v>297</v>
      </c>
      <c r="D21" s="103">
        <f>D66</f>
        <v>0</v>
      </c>
      <c r="E21" s="103">
        <f t="shared" ref="E21:AG21" si="12">E66</f>
        <v>0</v>
      </c>
      <c r="F21" s="103">
        <f t="shared" si="12"/>
        <v>0</v>
      </c>
      <c r="G21" s="103">
        <f t="shared" si="12"/>
        <v>0</v>
      </c>
      <c r="H21" s="103">
        <f t="shared" si="12"/>
        <v>0</v>
      </c>
      <c r="I21" s="103">
        <f t="shared" si="12"/>
        <v>0</v>
      </c>
      <c r="J21" s="103">
        <f t="shared" si="12"/>
        <v>0</v>
      </c>
      <c r="K21" s="103">
        <f t="shared" si="12"/>
        <v>0</v>
      </c>
      <c r="L21" s="103">
        <f t="shared" si="12"/>
        <v>0</v>
      </c>
      <c r="M21" s="103">
        <f t="shared" si="12"/>
        <v>0</v>
      </c>
      <c r="N21" s="103">
        <f t="shared" si="12"/>
        <v>0</v>
      </c>
      <c r="O21" s="103">
        <f t="shared" si="12"/>
        <v>0</v>
      </c>
      <c r="P21" s="103">
        <f t="shared" si="12"/>
        <v>0</v>
      </c>
      <c r="Q21" s="103">
        <f t="shared" si="12"/>
        <v>0</v>
      </c>
      <c r="R21" s="103">
        <f t="shared" si="12"/>
        <v>0</v>
      </c>
      <c r="S21" s="103">
        <f t="shared" si="12"/>
        <v>0</v>
      </c>
      <c r="T21" s="103">
        <f t="shared" si="12"/>
        <v>0</v>
      </c>
      <c r="U21" s="103">
        <f t="shared" si="12"/>
        <v>0</v>
      </c>
      <c r="V21" s="103">
        <f t="shared" si="12"/>
        <v>0</v>
      </c>
      <c r="W21" s="103">
        <f t="shared" si="12"/>
        <v>0</v>
      </c>
      <c r="X21" s="103">
        <f t="shared" si="12"/>
        <v>0</v>
      </c>
      <c r="Y21" s="103">
        <f t="shared" si="12"/>
        <v>0</v>
      </c>
      <c r="Z21" s="103">
        <f t="shared" si="12"/>
        <v>0</v>
      </c>
      <c r="AA21" s="103">
        <f t="shared" si="12"/>
        <v>0</v>
      </c>
      <c r="AB21" s="103">
        <f t="shared" si="12"/>
        <v>0</v>
      </c>
      <c r="AC21" s="103">
        <f t="shared" si="12"/>
        <v>0</v>
      </c>
      <c r="AD21" s="103">
        <f t="shared" si="12"/>
        <v>0</v>
      </c>
      <c r="AE21" s="103">
        <f t="shared" si="12"/>
        <v>0</v>
      </c>
      <c r="AF21" s="103">
        <f t="shared" si="12"/>
        <v>0</v>
      </c>
      <c r="AG21" s="104">
        <f t="shared" si="12"/>
        <v>0</v>
      </c>
    </row>
    <row r="22" spans="2:33" ht="15.75" x14ac:dyDescent="0.25">
      <c r="B22" s="182" t="s">
        <v>298</v>
      </c>
      <c r="D22" s="103">
        <f t="shared" ref="D22:AG22" si="13">D75</f>
        <v>0</v>
      </c>
      <c r="E22" s="103">
        <f t="shared" si="13"/>
        <v>0</v>
      </c>
      <c r="F22" s="103">
        <f t="shared" si="13"/>
        <v>0</v>
      </c>
      <c r="G22" s="103">
        <f t="shared" si="13"/>
        <v>0</v>
      </c>
      <c r="H22" s="103">
        <f t="shared" si="13"/>
        <v>0</v>
      </c>
      <c r="I22" s="103">
        <f t="shared" si="13"/>
        <v>0</v>
      </c>
      <c r="J22" s="103">
        <f t="shared" si="13"/>
        <v>0</v>
      </c>
      <c r="K22" s="103">
        <f t="shared" si="13"/>
        <v>0</v>
      </c>
      <c r="L22" s="103">
        <f t="shared" si="13"/>
        <v>0</v>
      </c>
      <c r="M22" s="103">
        <f t="shared" si="13"/>
        <v>0</v>
      </c>
      <c r="N22" s="103">
        <f t="shared" si="13"/>
        <v>0</v>
      </c>
      <c r="O22" s="103">
        <f t="shared" si="13"/>
        <v>0</v>
      </c>
      <c r="P22" s="103">
        <f t="shared" si="13"/>
        <v>0</v>
      </c>
      <c r="Q22" s="103">
        <f t="shared" si="13"/>
        <v>0</v>
      </c>
      <c r="R22" s="103">
        <f t="shared" si="13"/>
        <v>0</v>
      </c>
      <c r="S22" s="103">
        <f t="shared" si="13"/>
        <v>0</v>
      </c>
      <c r="T22" s="103">
        <f t="shared" si="13"/>
        <v>0</v>
      </c>
      <c r="U22" s="103">
        <f t="shared" si="13"/>
        <v>0</v>
      </c>
      <c r="V22" s="103">
        <f t="shared" si="13"/>
        <v>0</v>
      </c>
      <c r="W22" s="103">
        <f t="shared" si="13"/>
        <v>0</v>
      </c>
      <c r="X22" s="103">
        <f t="shared" si="13"/>
        <v>0</v>
      </c>
      <c r="Y22" s="103">
        <f t="shared" si="13"/>
        <v>0</v>
      </c>
      <c r="Z22" s="103">
        <f t="shared" si="13"/>
        <v>0</v>
      </c>
      <c r="AA22" s="103">
        <f t="shared" si="13"/>
        <v>0</v>
      </c>
      <c r="AB22" s="103">
        <f t="shared" si="13"/>
        <v>0</v>
      </c>
      <c r="AC22" s="103">
        <f t="shared" si="13"/>
        <v>0</v>
      </c>
      <c r="AD22" s="103">
        <f t="shared" si="13"/>
        <v>0</v>
      </c>
      <c r="AE22" s="103">
        <f t="shared" si="13"/>
        <v>0</v>
      </c>
      <c r="AF22" s="103">
        <f t="shared" si="13"/>
        <v>0</v>
      </c>
      <c r="AG22" s="104">
        <f t="shared" si="13"/>
        <v>0</v>
      </c>
    </row>
    <row r="23" spans="2:33" ht="15.75" x14ac:dyDescent="0.25">
      <c r="B23" s="182" t="s">
        <v>299</v>
      </c>
      <c r="D23" s="103">
        <f>D$84</f>
        <v>0</v>
      </c>
      <c r="E23" s="103">
        <f t="shared" ref="E23:AG23" si="14">E$84</f>
        <v>0</v>
      </c>
      <c r="F23" s="103">
        <f t="shared" si="14"/>
        <v>0</v>
      </c>
      <c r="G23" s="103">
        <f t="shared" si="14"/>
        <v>0</v>
      </c>
      <c r="H23" s="103">
        <f t="shared" si="14"/>
        <v>0</v>
      </c>
      <c r="I23" s="103">
        <f t="shared" si="14"/>
        <v>0</v>
      </c>
      <c r="J23" s="103">
        <f t="shared" si="14"/>
        <v>0</v>
      </c>
      <c r="K23" s="103">
        <f t="shared" si="14"/>
        <v>0</v>
      </c>
      <c r="L23" s="103">
        <f t="shared" si="14"/>
        <v>0</v>
      </c>
      <c r="M23" s="103">
        <f t="shared" si="14"/>
        <v>0</v>
      </c>
      <c r="N23" s="103">
        <f t="shared" si="14"/>
        <v>0</v>
      </c>
      <c r="O23" s="103">
        <f t="shared" si="14"/>
        <v>0</v>
      </c>
      <c r="P23" s="103">
        <f t="shared" si="14"/>
        <v>0</v>
      </c>
      <c r="Q23" s="103">
        <f t="shared" si="14"/>
        <v>0</v>
      </c>
      <c r="R23" s="103">
        <f t="shared" si="14"/>
        <v>0</v>
      </c>
      <c r="S23" s="103">
        <f t="shared" si="14"/>
        <v>0</v>
      </c>
      <c r="T23" s="103">
        <f t="shared" si="14"/>
        <v>0</v>
      </c>
      <c r="U23" s="103">
        <f t="shared" si="14"/>
        <v>0</v>
      </c>
      <c r="V23" s="103">
        <f t="shared" si="14"/>
        <v>0</v>
      </c>
      <c r="W23" s="103">
        <f t="shared" si="14"/>
        <v>0</v>
      </c>
      <c r="X23" s="103">
        <f t="shared" si="14"/>
        <v>0</v>
      </c>
      <c r="Y23" s="103">
        <f t="shared" si="14"/>
        <v>0</v>
      </c>
      <c r="Z23" s="103">
        <f t="shared" si="14"/>
        <v>0</v>
      </c>
      <c r="AA23" s="103">
        <f t="shared" si="14"/>
        <v>0</v>
      </c>
      <c r="AB23" s="103">
        <f t="shared" si="14"/>
        <v>0</v>
      </c>
      <c r="AC23" s="103">
        <f t="shared" si="14"/>
        <v>0</v>
      </c>
      <c r="AD23" s="103">
        <f t="shared" si="14"/>
        <v>0</v>
      </c>
      <c r="AE23" s="103">
        <f t="shared" si="14"/>
        <v>0</v>
      </c>
      <c r="AF23" s="103">
        <f t="shared" si="14"/>
        <v>0</v>
      </c>
      <c r="AG23" s="104">
        <f t="shared" si="14"/>
        <v>0</v>
      </c>
    </row>
    <row r="24" spans="2:33" ht="15.75" x14ac:dyDescent="0.25">
      <c r="B24" s="182" t="s">
        <v>344</v>
      </c>
      <c r="D24" s="206">
        <f>Sources!$H$15</f>
        <v>0</v>
      </c>
      <c r="E24" s="206">
        <f>Sources!$H$15</f>
        <v>0</v>
      </c>
      <c r="F24" s="206">
        <f>Sources!$H$15</f>
        <v>0</v>
      </c>
      <c r="G24" s="206">
        <f>Sources!$H$15</f>
        <v>0</v>
      </c>
      <c r="H24" s="206">
        <f>Sources!$H$15</f>
        <v>0</v>
      </c>
      <c r="I24" s="206">
        <f>Sources!$H$15</f>
        <v>0</v>
      </c>
      <c r="J24" s="206">
        <f>Sources!$H$15</f>
        <v>0</v>
      </c>
      <c r="K24" s="206">
        <f>Sources!$H$15</f>
        <v>0</v>
      </c>
      <c r="L24" s="206">
        <f>Sources!$H$15</f>
        <v>0</v>
      </c>
      <c r="M24" s="206">
        <f>Sources!$H$15</f>
        <v>0</v>
      </c>
      <c r="N24" s="206">
        <f>Sources!$H$15</f>
        <v>0</v>
      </c>
      <c r="O24" s="206">
        <f>Sources!$H$15</f>
        <v>0</v>
      </c>
      <c r="P24" s="206">
        <f>Sources!$H$15</f>
        <v>0</v>
      </c>
      <c r="Q24" s="206">
        <f>Sources!$H$15</f>
        <v>0</v>
      </c>
      <c r="R24" s="206">
        <f>Sources!$H$15</f>
        <v>0</v>
      </c>
      <c r="S24" s="206">
        <f>Sources!$H$15</f>
        <v>0</v>
      </c>
      <c r="T24" s="206">
        <f>Sources!$H$15</f>
        <v>0</v>
      </c>
      <c r="U24" s="206">
        <f>Sources!$H$15</f>
        <v>0</v>
      </c>
      <c r="V24" s="206">
        <f>Sources!$H$15</f>
        <v>0</v>
      </c>
      <c r="W24" s="206">
        <f>Sources!$H$15</f>
        <v>0</v>
      </c>
      <c r="X24" s="206">
        <f>Sources!$H$15</f>
        <v>0</v>
      </c>
      <c r="Y24" s="206">
        <f>Sources!$H$15</f>
        <v>0</v>
      </c>
      <c r="Z24" s="206">
        <f>Sources!$H$15</f>
        <v>0</v>
      </c>
      <c r="AA24" s="206">
        <f>Sources!$H$15</f>
        <v>0</v>
      </c>
      <c r="AB24" s="206">
        <f>Sources!$H$15</f>
        <v>0</v>
      </c>
      <c r="AC24" s="206">
        <f>Sources!$H$15</f>
        <v>0</v>
      </c>
      <c r="AD24" s="206">
        <f>Sources!$H$15</f>
        <v>0</v>
      </c>
      <c r="AE24" s="206">
        <f>Sources!$H$15</f>
        <v>0</v>
      </c>
      <c r="AF24" s="206">
        <f>Sources!$H$15</f>
        <v>0</v>
      </c>
      <c r="AG24" s="207">
        <f>Sources!$H$15</f>
        <v>0</v>
      </c>
    </row>
    <row r="25" spans="2:33" ht="15.75" x14ac:dyDescent="0.25">
      <c r="B25" s="182" t="s">
        <v>344</v>
      </c>
      <c r="D25" s="206">
        <f>Sources!$H$16</f>
        <v>0</v>
      </c>
      <c r="E25" s="206">
        <f>Sources!$H$16</f>
        <v>0</v>
      </c>
      <c r="F25" s="206">
        <f>Sources!$H$16</f>
        <v>0</v>
      </c>
      <c r="G25" s="206">
        <f>Sources!$H$16</f>
        <v>0</v>
      </c>
      <c r="H25" s="206">
        <f>Sources!$H$16</f>
        <v>0</v>
      </c>
      <c r="I25" s="206">
        <f>Sources!$H$16</f>
        <v>0</v>
      </c>
      <c r="J25" s="206">
        <f>Sources!$H$16</f>
        <v>0</v>
      </c>
      <c r="K25" s="206">
        <f>Sources!$H$16</f>
        <v>0</v>
      </c>
      <c r="L25" s="206">
        <f>Sources!$H$16</f>
        <v>0</v>
      </c>
      <c r="M25" s="206">
        <f>Sources!$H$16</f>
        <v>0</v>
      </c>
      <c r="N25" s="206">
        <f>Sources!$H$16</f>
        <v>0</v>
      </c>
      <c r="O25" s="206">
        <f>Sources!$H$16</f>
        <v>0</v>
      </c>
      <c r="P25" s="206">
        <f>Sources!$H$16</f>
        <v>0</v>
      </c>
      <c r="Q25" s="206">
        <f>Sources!$H$16</f>
        <v>0</v>
      </c>
      <c r="R25" s="206">
        <f>Sources!$H$16</f>
        <v>0</v>
      </c>
      <c r="S25" s="206">
        <f>Sources!$H$16</f>
        <v>0</v>
      </c>
      <c r="T25" s="206">
        <f>Sources!$H$16</f>
        <v>0</v>
      </c>
      <c r="U25" s="206">
        <f>Sources!$H$16</f>
        <v>0</v>
      </c>
      <c r="V25" s="206">
        <f>Sources!$H$16</f>
        <v>0</v>
      </c>
      <c r="W25" s="206">
        <f>Sources!$H$16</f>
        <v>0</v>
      </c>
      <c r="X25" s="206">
        <f>Sources!$H$16</f>
        <v>0</v>
      </c>
      <c r="Y25" s="206">
        <f>Sources!$H$16</f>
        <v>0</v>
      </c>
      <c r="Z25" s="206">
        <f>Sources!$H$16</f>
        <v>0</v>
      </c>
      <c r="AA25" s="206">
        <f>Sources!$H$16</f>
        <v>0</v>
      </c>
      <c r="AB25" s="206">
        <f>Sources!$H$16</f>
        <v>0</v>
      </c>
      <c r="AC25" s="206">
        <f>Sources!$H$16</f>
        <v>0</v>
      </c>
      <c r="AD25" s="206">
        <f>Sources!$H$16</f>
        <v>0</v>
      </c>
      <c r="AE25" s="206">
        <f>Sources!$H$16</f>
        <v>0</v>
      </c>
      <c r="AF25" s="206">
        <f>Sources!$H$16</f>
        <v>0</v>
      </c>
      <c r="AG25" s="207">
        <f>Sources!$H$16</f>
        <v>0</v>
      </c>
    </row>
    <row r="26" spans="2:33" ht="15.75" x14ac:dyDescent="0.25">
      <c r="B26" s="182" t="s">
        <v>344</v>
      </c>
      <c r="D26" s="206">
        <f>Sources!$H$17</f>
        <v>0</v>
      </c>
      <c r="E26" s="206">
        <f>Sources!$H$17</f>
        <v>0</v>
      </c>
      <c r="F26" s="206">
        <f>Sources!$H$17</f>
        <v>0</v>
      </c>
      <c r="G26" s="206">
        <f>Sources!$H$17</f>
        <v>0</v>
      </c>
      <c r="H26" s="206">
        <f>Sources!$H$17</f>
        <v>0</v>
      </c>
      <c r="I26" s="206">
        <f>Sources!$H$17</f>
        <v>0</v>
      </c>
      <c r="J26" s="206">
        <f>Sources!$H$17</f>
        <v>0</v>
      </c>
      <c r="K26" s="206">
        <f>Sources!$H$17</f>
        <v>0</v>
      </c>
      <c r="L26" s="206">
        <f>Sources!$H$17</f>
        <v>0</v>
      </c>
      <c r="M26" s="206">
        <f>Sources!$H$17</f>
        <v>0</v>
      </c>
      <c r="N26" s="206">
        <f>Sources!$H$17</f>
        <v>0</v>
      </c>
      <c r="O26" s="206">
        <f>Sources!$H$17</f>
        <v>0</v>
      </c>
      <c r="P26" s="206">
        <f>Sources!$H$17</f>
        <v>0</v>
      </c>
      <c r="Q26" s="206">
        <f>Sources!$H$17</f>
        <v>0</v>
      </c>
      <c r="R26" s="206">
        <f>Sources!$H$17</f>
        <v>0</v>
      </c>
      <c r="S26" s="206">
        <f>Sources!$H$17</f>
        <v>0</v>
      </c>
      <c r="T26" s="206">
        <f>Sources!$H$17</f>
        <v>0</v>
      </c>
      <c r="U26" s="206">
        <f>Sources!$H$17</f>
        <v>0</v>
      </c>
      <c r="V26" s="206">
        <f>Sources!$H$17</f>
        <v>0</v>
      </c>
      <c r="W26" s="206">
        <f>Sources!$H$17</f>
        <v>0</v>
      </c>
      <c r="X26" s="206">
        <f>Sources!$H$17</f>
        <v>0</v>
      </c>
      <c r="Y26" s="206">
        <f>Sources!$H$17</f>
        <v>0</v>
      </c>
      <c r="Z26" s="206">
        <f>Sources!$H$17</f>
        <v>0</v>
      </c>
      <c r="AA26" s="206">
        <f>Sources!$H$17</f>
        <v>0</v>
      </c>
      <c r="AB26" s="206">
        <f>Sources!$H$17</f>
        <v>0</v>
      </c>
      <c r="AC26" s="206">
        <f>Sources!$H$17</f>
        <v>0</v>
      </c>
      <c r="AD26" s="206">
        <f>Sources!$H$17</f>
        <v>0</v>
      </c>
      <c r="AE26" s="206">
        <f>Sources!$H$17</f>
        <v>0</v>
      </c>
      <c r="AF26" s="206">
        <f>Sources!$H$17</f>
        <v>0</v>
      </c>
      <c r="AG26" s="207">
        <f>Sources!$H$17</f>
        <v>0</v>
      </c>
    </row>
    <row r="27" spans="2:33" ht="15.75" x14ac:dyDescent="0.25">
      <c r="B27" s="182" t="s">
        <v>300</v>
      </c>
      <c r="D27" s="103">
        <f>Sources!$H$18</f>
        <v>0</v>
      </c>
      <c r="E27" s="103">
        <f>Sources!$H$18</f>
        <v>0</v>
      </c>
      <c r="F27" s="103">
        <f>Sources!$H$18</f>
        <v>0</v>
      </c>
      <c r="G27" s="103">
        <f>Sources!$H$18</f>
        <v>0</v>
      </c>
      <c r="H27" s="103">
        <f>Sources!$H$18</f>
        <v>0</v>
      </c>
      <c r="I27" s="103">
        <f>Sources!$H$18</f>
        <v>0</v>
      </c>
      <c r="J27" s="103">
        <f>Sources!$H$18</f>
        <v>0</v>
      </c>
      <c r="K27" s="103">
        <f>Sources!$H$18</f>
        <v>0</v>
      </c>
      <c r="L27" s="103">
        <f>Sources!$H$18</f>
        <v>0</v>
      </c>
      <c r="M27" s="103">
        <f>Sources!$H$18</f>
        <v>0</v>
      </c>
      <c r="N27" s="103">
        <f>Sources!$H$18</f>
        <v>0</v>
      </c>
      <c r="O27" s="103">
        <f>Sources!$H$18</f>
        <v>0</v>
      </c>
      <c r="P27" s="103">
        <f>Sources!$H$18</f>
        <v>0</v>
      </c>
      <c r="Q27" s="103">
        <f>Sources!$H$18</f>
        <v>0</v>
      </c>
      <c r="R27" s="103">
        <f>Sources!$H$18</f>
        <v>0</v>
      </c>
      <c r="S27" s="103">
        <f>Sources!$H$18</f>
        <v>0</v>
      </c>
      <c r="T27" s="103">
        <f>Sources!$H$18</f>
        <v>0</v>
      </c>
      <c r="U27" s="103">
        <f>Sources!$H$18</f>
        <v>0</v>
      </c>
      <c r="V27" s="103">
        <f>Sources!$H$18</f>
        <v>0</v>
      </c>
      <c r="W27" s="103">
        <f>Sources!$H$18</f>
        <v>0</v>
      </c>
      <c r="X27" s="103">
        <f>Sources!$H$18</f>
        <v>0</v>
      </c>
      <c r="Y27" s="103">
        <f>Sources!$H$18</f>
        <v>0</v>
      </c>
      <c r="Z27" s="103">
        <f>Sources!$H$18</f>
        <v>0</v>
      </c>
      <c r="AA27" s="103">
        <f>Sources!$H$18</f>
        <v>0</v>
      </c>
      <c r="AB27" s="103">
        <f>Sources!$H$18</f>
        <v>0</v>
      </c>
      <c r="AC27" s="103">
        <f>Sources!$H$18</f>
        <v>0</v>
      </c>
      <c r="AD27" s="103">
        <f>Sources!$H$18</f>
        <v>0</v>
      </c>
      <c r="AE27" s="103">
        <f>Sources!$H$18</f>
        <v>0</v>
      </c>
      <c r="AF27" s="103">
        <f>Sources!$H$18</f>
        <v>0</v>
      </c>
      <c r="AG27" s="104">
        <f>Sources!$H$18</f>
        <v>0</v>
      </c>
    </row>
    <row r="28" spans="2:33" ht="15.75" x14ac:dyDescent="0.25">
      <c r="B28" s="192" t="s">
        <v>142</v>
      </c>
      <c r="D28" s="103">
        <f t="shared" ref="D28:AG28" si="15">SUM(D18:D27)</f>
        <v>0</v>
      </c>
      <c r="E28" s="103">
        <f t="shared" si="15"/>
        <v>0</v>
      </c>
      <c r="F28" s="103">
        <f t="shared" si="15"/>
        <v>0</v>
      </c>
      <c r="G28" s="103">
        <f t="shared" si="15"/>
        <v>0</v>
      </c>
      <c r="H28" s="103">
        <f t="shared" si="15"/>
        <v>0</v>
      </c>
      <c r="I28" s="103">
        <f t="shared" si="15"/>
        <v>0</v>
      </c>
      <c r="J28" s="103">
        <f t="shared" si="15"/>
        <v>0</v>
      </c>
      <c r="K28" s="103">
        <f t="shared" si="15"/>
        <v>0</v>
      </c>
      <c r="L28" s="103">
        <f t="shared" si="15"/>
        <v>0</v>
      </c>
      <c r="M28" s="103">
        <f t="shared" si="15"/>
        <v>0</v>
      </c>
      <c r="N28" s="103">
        <f t="shared" si="15"/>
        <v>0</v>
      </c>
      <c r="O28" s="103">
        <f t="shared" si="15"/>
        <v>0</v>
      </c>
      <c r="P28" s="103">
        <f t="shared" si="15"/>
        <v>0</v>
      </c>
      <c r="Q28" s="103">
        <f t="shared" si="15"/>
        <v>0</v>
      </c>
      <c r="R28" s="103">
        <f t="shared" si="15"/>
        <v>0</v>
      </c>
      <c r="S28" s="103">
        <f t="shared" si="15"/>
        <v>0</v>
      </c>
      <c r="T28" s="103">
        <f t="shared" si="15"/>
        <v>0</v>
      </c>
      <c r="U28" s="103">
        <f t="shared" si="15"/>
        <v>0</v>
      </c>
      <c r="V28" s="103">
        <f t="shared" si="15"/>
        <v>0</v>
      </c>
      <c r="W28" s="103">
        <f t="shared" si="15"/>
        <v>0</v>
      </c>
      <c r="X28" s="103">
        <f t="shared" si="15"/>
        <v>0</v>
      </c>
      <c r="Y28" s="103">
        <f t="shared" si="15"/>
        <v>0</v>
      </c>
      <c r="Z28" s="103">
        <f t="shared" si="15"/>
        <v>0</v>
      </c>
      <c r="AA28" s="103">
        <f t="shared" si="15"/>
        <v>0</v>
      </c>
      <c r="AB28" s="103">
        <f t="shared" si="15"/>
        <v>0</v>
      </c>
      <c r="AC28" s="103">
        <f t="shared" si="15"/>
        <v>0</v>
      </c>
      <c r="AD28" s="103">
        <f t="shared" si="15"/>
        <v>0</v>
      </c>
      <c r="AE28" s="103">
        <f t="shared" si="15"/>
        <v>0</v>
      </c>
      <c r="AF28" s="103">
        <f t="shared" si="15"/>
        <v>0</v>
      </c>
      <c r="AG28" s="115">
        <f t="shared" si="15"/>
        <v>0</v>
      </c>
    </row>
    <row r="29" spans="2:33" ht="15.75" x14ac:dyDescent="0.25">
      <c r="B29" s="193" t="s">
        <v>301</v>
      </c>
      <c r="C29" s="194"/>
      <c r="D29" s="163">
        <f t="shared" ref="D29:AG29" si="16">D17-D28</f>
        <v>0</v>
      </c>
      <c r="E29" s="163">
        <f t="shared" si="16"/>
        <v>0</v>
      </c>
      <c r="F29" s="163">
        <f t="shared" si="16"/>
        <v>0</v>
      </c>
      <c r="G29" s="163">
        <f t="shared" si="16"/>
        <v>0</v>
      </c>
      <c r="H29" s="163">
        <f t="shared" si="16"/>
        <v>0</v>
      </c>
      <c r="I29" s="163">
        <f t="shared" si="16"/>
        <v>0</v>
      </c>
      <c r="J29" s="163">
        <f t="shared" si="16"/>
        <v>0</v>
      </c>
      <c r="K29" s="163">
        <f t="shared" si="16"/>
        <v>0</v>
      </c>
      <c r="L29" s="163">
        <f t="shared" si="16"/>
        <v>0</v>
      </c>
      <c r="M29" s="163">
        <f t="shared" si="16"/>
        <v>0</v>
      </c>
      <c r="N29" s="163">
        <f t="shared" si="16"/>
        <v>0</v>
      </c>
      <c r="O29" s="163">
        <f t="shared" si="16"/>
        <v>0</v>
      </c>
      <c r="P29" s="163">
        <f t="shared" si="16"/>
        <v>0</v>
      </c>
      <c r="Q29" s="163">
        <f t="shared" si="16"/>
        <v>0</v>
      </c>
      <c r="R29" s="163">
        <f t="shared" si="16"/>
        <v>0</v>
      </c>
      <c r="S29" s="163">
        <f t="shared" si="16"/>
        <v>0</v>
      </c>
      <c r="T29" s="163">
        <f t="shared" si="16"/>
        <v>0</v>
      </c>
      <c r="U29" s="163">
        <f t="shared" si="16"/>
        <v>0</v>
      </c>
      <c r="V29" s="163">
        <f t="shared" si="16"/>
        <v>0</v>
      </c>
      <c r="W29" s="163">
        <f t="shared" si="16"/>
        <v>0</v>
      </c>
      <c r="X29" s="163">
        <f t="shared" si="16"/>
        <v>0</v>
      </c>
      <c r="Y29" s="163">
        <f t="shared" si="16"/>
        <v>0</v>
      </c>
      <c r="Z29" s="163">
        <f t="shared" si="16"/>
        <v>0</v>
      </c>
      <c r="AA29" s="163">
        <f t="shared" si="16"/>
        <v>0</v>
      </c>
      <c r="AB29" s="163">
        <f t="shared" si="16"/>
        <v>0</v>
      </c>
      <c r="AC29" s="163">
        <f t="shared" si="16"/>
        <v>0</v>
      </c>
      <c r="AD29" s="163">
        <f t="shared" si="16"/>
        <v>0</v>
      </c>
      <c r="AE29" s="163">
        <f t="shared" si="16"/>
        <v>0</v>
      </c>
      <c r="AF29" s="163">
        <f t="shared" si="16"/>
        <v>0</v>
      </c>
      <c r="AG29" s="351">
        <f t="shared" si="16"/>
        <v>0</v>
      </c>
    </row>
    <row r="30" spans="2:33" ht="15.75" customHeight="1" x14ac:dyDescent="0.2"/>
    <row r="31" spans="2:33" ht="15.75" x14ac:dyDescent="0.25">
      <c r="B31" s="195" t="s">
        <v>302</v>
      </c>
      <c r="C31" s="196"/>
      <c r="D31" s="164">
        <f t="shared" ref="D31:AG31" si="17">IF(ISERR(D17/D18),0,D17/D18)</f>
        <v>0</v>
      </c>
      <c r="E31" s="164">
        <f t="shared" si="17"/>
        <v>0</v>
      </c>
      <c r="F31" s="164">
        <f t="shared" si="17"/>
        <v>0</v>
      </c>
      <c r="G31" s="164">
        <f t="shared" si="17"/>
        <v>0</v>
      </c>
      <c r="H31" s="164">
        <f t="shared" si="17"/>
        <v>0</v>
      </c>
      <c r="I31" s="164">
        <f t="shared" si="17"/>
        <v>0</v>
      </c>
      <c r="J31" s="164">
        <f t="shared" si="17"/>
        <v>0</v>
      </c>
      <c r="K31" s="164">
        <f t="shared" si="17"/>
        <v>0</v>
      </c>
      <c r="L31" s="164">
        <f t="shared" si="17"/>
        <v>0</v>
      </c>
      <c r="M31" s="164">
        <f t="shared" si="17"/>
        <v>0</v>
      </c>
      <c r="N31" s="164">
        <f t="shared" si="17"/>
        <v>0</v>
      </c>
      <c r="O31" s="164">
        <f t="shared" si="17"/>
        <v>0</v>
      </c>
      <c r="P31" s="164">
        <f t="shared" si="17"/>
        <v>0</v>
      </c>
      <c r="Q31" s="164">
        <f t="shared" si="17"/>
        <v>0</v>
      </c>
      <c r="R31" s="164">
        <f t="shared" si="17"/>
        <v>0</v>
      </c>
      <c r="S31" s="164">
        <f t="shared" si="17"/>
        <v>0</v>
      </c>
      <c r="T31" s="164">
        <f t="shared" si="17"/>
        <v>0</v>
      </c>
      <c r="U31" s="164">
        <f t="shared" si="17"/>
        <v>0</v>
      </c>
      <c r="V31" s="164">
        <f t="shared" si="17"/>
        <v>0</v>
      </c>
      <c r="W31" s="164">
        <f t="shared" si="17"/>
        <v>0</v>
      </c>
      <c r="X31" s="164">
        <f t="shared" si="17"/>
        <v>0</v>
      </c>
      <c r="Y31" s="164">
        <f t="shared" si="17"/>
        <v>0</v>
      </c>
      <c r="Z31" s="164">
        <f t="shared" si="17"/>
        <v>0</v>
      </c>
      <c r="AA31" s="164">
        <f t="shared" si="17"/>
        <v>0</v>
      </c>
      <c r="AB31" s="164">
        <f t="shared" si="17"/>
        <v>0</v>
      </c>
      <c r="AC31" s="164">
        <f t="shared" si="17"/>
        <v>0</v>
      </c>
      <c r="AD31" s="164">
        <f t="shared" si="17"/>
        <v>0</v>
      </c>
      <c r="AE31" s="164">
        <f t="shared" si="17"/>
        <v>0</v>
      </c>
      <c r="AF31" s="164">
        <f t="shared" si="17"/>
        <v>0</v>
      </c>
      <c r="AG31" s="165">
        <f t="shared" si="17"/>
        <v>0</v>
      </c>
    </row>
    <row r="32" spans="2:33" ht="15.75" x14ac:dyDescent="0.25">
      <c r="B32" s="197" t="s">
        <v>303</v>
      </c>
      <c r="C32" s="198"/>
      <c r="D32" s="166">
        <f t="shared" ref="D32:AG32" si="18">IF(D28=0,0,D17/D28)</f>
        <v>0</v>
      </c>
      <c r="E32" s="166">
        <f t="shared" si="18"/>
        <v>0</v>
      </c>
      <c r="F32" s="166">
        <f t="shared" si="18"/>
        <v>0</v>
      </c>
      <c r="G32" s="166">
        <f t="shared" si="18"/>
        <v>0</v>
      </c>
      <c r="H32" s="166">
        <f t="shared" si="18"/>
        <v>0</v>
      </c>
      <c r="I32" s="166">
        <f t="shared" si="18"/>
        <v>0</v>
      </c>
      <c r="J32" s="166">
        <f t="shared" si="18"/>
        <v>0</v>
      </c>
      <c r="K32" s="166">
        <f t="shared" si="18"/>
        <v>0</v>
      </c>
      <c r="L32" s="166">
        <f t="shared" si="18"/>
        <v>0</v>
      </c>
      <c r="M32" s="166">
        <f t="shared" si="18"/>
        <v>0</v>
      </c>
      <c r="N32" s="166">
        <f t="shared" si="18"/>
        <v>0</v>
      </c>
      <c r="O32" s="166">
        <f t="shared" si="18"/>
        <v>0</v>
      </c>
      <c r="P32" s="166">
        <f t="shared" si="18"/>
        <v>0</v>
      </c>
      <c r="Q32" s="166">
        <f t="shared" si="18"/>
        <v>0</v>
      </c>
      <c r="R32" s="166">
        <f t="shared" si="18"/>
        <v>0</v>
      </c>
      <c r="S32" s="166">
        <f t="shared" si="18"/>
        <v>0</v>
      </c>
      <c r="T32" s="166">
        <f t="shared" si="18"/>
        <v>0</v>
      </c>
      <c r="U32" s="166">
        <f t="shared" si="18"/>
        <v>0</v>
      </c>
      <c r="V32" s="166">
        <f t="shared" si="18"/>
        <v>0</v>
      </c>
      <c r="W32" s="166">
        <f t="shared" si="18"/>
        <v>0</v>
      </c>
      <c r="X32" s="166">
        <f t="shared" si="18"/>
        <v>0</v>
      </c>
      <c r="Y32" s="166">
        <f t="shared" si="18"/>
        <v>0</v>
      </c>
      <c r="Z32" s="166">
        <f t="shared" si="18"/>
        <v>0</v>
      </c>
      <c r="AA32" s="166">
        <f t="shared" si="18"/>
        <v>0</v>
      </c>
      <c r="AB32" s="166">
        <f t="shared" si="18"/>
        <v>0</v>
      </c>
      <c r="AC32" s="166">
        <f t="shared" si="18"/>
        <v>0</v>
      </c>
      <c r="AD32" s="166">
        <f t="shared" si="18"/>
        <v>0</v>
      </c>
      <c r="AE32" s="166">
        <f t="shared" si="18"/>
        <v>0</v>
      </c>
      <c r="AF32" s="166">
        <f t="shared" si="18"/>
        <v>0</v>
      </c>
      <c r="AG32" s="167">
        <f t="shared" si="18"/>
        <v>0</v>
      </c>
    </row>
    <row r="33" spans="2:33" ht="15" x14ac:dyDescent="0.25">
      <c r="B33" s="478"/>
      <c r="C33" s="478"/>
      <c r="D33" s="267"/>
      <c r="E33" s="183"/>
      <c r="F33" s="183"/>
      <c r="G33" s="183"/>
      <c r="H33" s="183"/>
      <c r="I33" s="183"/>
      <c r="J33" s="183"/>
      <c r="K33" s="183"/>
      <c r="L33" s="199">
        <f>Sources!C24</f>
        <v>0</v>
      </c>
      <c r="M33" s="103" t="str">
        <f>IF(Sources!C24&gt;0,SUM(D29:M29),"")</f>
        <v/>
      </c>
      <c r="N33" s="183" t="str">
        <f>IF(Sources!C24="","",IF(M33&lt;L33,"Unable to Repay Deferred Fee within 10 years","10 year Deferred Fee Repayment"))</f>
        <v/>
      </c>
      <c r="O33" s="183"/>
      <c r="P33" s="183"/>
      <c r="Q33" s="199"/>
      <c r="R33" s="183" t="str">
        <f>IF(Sources!C24="","",SUM(D29:R29))</f>
        <v/>
      </c>
      <c r="S33" s="183" t="str">
        <f>IF(Sources!C24="","",IF(R33&lt;R34,"Unable to Repay Deferred Fee within 15 years","15 year Deferred Fee Repayment"))</f>
        <v/>
      </c>
      <c r="T33" s="183"/>
      <c r="U33" s="183"/>
      <c r="V33" s="183"/>
      <c r="W33" s="183"/>
      <c r="X33" s="183"/>
      <c r="Y33" s="183"/>
      <c r="Z33" s="183"/>
      <c r="AA33" s="183"/>
      <c r="AB33" s="183"/>
      <c r="AC33" s="183"/>
      <c r="AD33" s="183"/>
      <c r="AE33" s="183"/>
      <c r="AF33" s="183"/>
      <c r="AG33" s="200"/>
    </row>
    <row r="34" spans="2:33" ht="12.75" customHeight="1" x14ac:dyDescent="0.2">
      <c r="C34" s="201"/>
      <c r="E34" s="202"/>
      <c r="F34" s="202"/>
      <c r="G34" s="202"/>
      <c r="H34" s="202"/>
      <c r="I34" s="202"/>
      <c r="J34" s="202"/>
      <c r="K34" s="202"/>
      <c r="L34" s="202"/>
      <c r="M34" s="202"/>
      <c r="N34" s="202"/>
      <c r="O34" s="202"/>
      <c r="P34" s="202"/>
      <c r="Q34" s="202"/>
      <c r="R34" s="119">
        <f>L33</f>
        <v>0</v>
      </c>
      <c r="S34" s="202"/>
      <c r="T34" s="202"/>
      <c r="U34" s="202"/>
      <c r="V34" s="202"/>
      <c r="W34" s="202"/>
      <c r="X34" s="202"/>
      <c r="Y34" s="202"/>
      <c r="Z34" s="202"/>
      <c r="AA34" s="202"/>
      <c r="AB34" s="202"/>
      <c r="AC34" s="202"/>
      <c r="AD34" s="202"/>
      <c r="AE34" s="202"/>
      <c r="AF34" s="202"/>
      <c r="AG34" s="202"/>
    </row>
    <row r="35" spans="2:33" ht="15.75" hidden="1" customHeight="1" x14ac:dyDescent="0.25">
      <c r="B35" s="246" t="str">
        <f>Sources!B9</f>
        <v>Bank Loan</v>
      </c>
      <c r="C35" s="194"/>
      <c r="D35" s="247">
        <v>1</v>
      </c>
      <c r="E35" s="247">
        <v>2</v>
      </c>
      <c r="F35" s="247">
        <v>3</v>
      </c>
      <c r="G35" s="247">
        <v>4</v>
      </c>
      <c r="H35" s="247">
        <v>5</v>
      </c>
      <c r="I35" s="247">
        <v>6</v>
      </c>
      <c r="J35" s="247">
        <v>7</v>
      </c>
      <c r="K35" s="247">
        <v>8</v>
      </c>
      <c r="L35" s="247">
        <v>9</v>
      </c>
      <c r="M35" s="247">
        <v>10</v>
      </c>
      <c r="N35" s="247">
        <v>11</v>
      </c>
      <c r="O35" s="247">
        <v>12</v>
      </c>
      <c r="P35" s="247">
        <v>13</v>
      </c>
      <c r="Q35" s="247">
        <v>14</v>
      </c>
      <c r="R35" s="247">
        <v>15</v>
      </c>
      <c r="S35" s="247">
        <v>16</v>
      </c>
      <c r="T35" s="247">
        <v>17</v>
      </c>
      <c r="U35" s="247">
        <v>18</v>
      </c>
      <c r="V35" s="247">
        <v>19</v>
      </c>
      <c r="W35" s="247">
        <v>20</v>
      </c>
      <c r="X35" s="247">
        <v>21</v>
      </c>
      <c r="Y35" s="247">
        <v>22</v>
      </c>
      <c r="Z35" s="247">
        <v>23</v>
      </c>
      <c r="AA35" s="247">
        <v>24</v>
      </c>
      <c r="AB35" s="247">
        <v>25</v>
      </c>
      <c r="AC35" s="247">
        <v>26</v>
      </c>
      <c r="AD35" s="247">
        <v>27</v>
      </c>
      <c r="AE35" s="247">
        <v>28</v>
      </c>
      <c r="AF35" s="247">
        <v>29</v>
      </c>
      <c r="AG35" s="248">
        <v>30</v>
      </c>
    </row>
    <row r="36" spans="2:33" ht="15.75" hidden="1" customHeight="1" x14ac:dyDescent="0.25">
      <c r="B36" s="133" t="s">
        <v>304</v>
      </c>
      <c r="C36" s="116">
        <f>Sources!E9</f>
        <v>0</v>
      </c>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8"/>
    </row>
    <row r="37" spans="2:33" ht="15.75" hidden="1" customHeight="1" x14ac:dyDescent="0.25">
      <c r="B37" s="133" t="s">
        <v>59</v>
      </c>
      <c r="C37" s="103">
        <f>Sources!F9</f>
        <v>0</v>
      </c>
      <c r="D37" s="119">
        <f>Sources!G9*12</f>
        <v>0</v>
      </c>
      <c r="E37" s="119">
        <f t="shared" ref="E37:AG37" si="19">D37-12</f>
        <v>-12</v>
      </c>
      <c r="F37" s="119">
        <f t="shared" si="19"/>
        <v>-24</v>
      </c>
      <c r="G37" s="119">
        <f t="shared" si="19"/>
        <v>-36</v>
      </c>
      <c r="H37" s="119">
        <f t="shared" si="19"/>
        <v>-48</v>
      </c>
      <c r="I37" s="119">
        <f t="shared" si="19"/>
        <v>-60</v>
      </c>
      <c r="J37" s="119">
        <f t="shared" si="19"/>
        <v>-72</v>
      </c>
      <c r="K37" s="119">
        <f t="shared" si="19"/>
        <v>-84</v>
      </c>
      <c r="L37" s="119">
        <f t="shared" si="19"/>
        <v>-96</v>
      </c>
      <c r="M37" s="119">
        <f t="shared" si="19"/>
        <v>-108</v>
      </c>
      <c r="N37" s="119">
        <f t="shared" si="19"/>
        <v>-120</v>
      </c>
      <c r="O37" s="119">
        <f t="shared" si="19"/>
        <v>-132</v>
      </c>
      <c r="P37" s="119">
        <f t="shared" si="19"/>
        <v>-144</v>
      </c>
      <c r="Q37" s="119">
        <f t="shared" si="19"/>
        <v>-156</v>
      </c>
      <c r="R37" s="119">
        <f t="shared" si="19"/>
        <v>-168</v>
      </c>
      <c r="S37" s="119">
        <f t="shared" si="19"/>
        <v>-180</v>
      </c>
      <c r="T37" s="119">
        <f t="shared" si="19"/>
        <v>-192</v>
      </c>
      <c r="U37" s="119">
        <f t="shared" si="19"/>
        <v>-204</v>
      </c>
      <c r="V37" s="119">
        <f t="shared" si="19"/>
        <v>-216</v>
      </c>
      <c r="W37" s="119">
        <f t="shared" si="19"/>
        <v>-228</v>
      </c>
      <c r="X37" s="119">
        <f t="shared" si="19"/>
        <v>-240</v>
      </c>
      <c r="Y37" s="119">
        <f t="shared" si="19"/>
        <v>-252</v>
      </c>
      <c r="Z37" s="119">
        <f t="shared" si="19"/>
        <v>-264</v>
      </c>
      <c r="AA37" s="119">
        <f t="shared" si="19"/>
        <v>-276</v>
      </c>
      <c r="AB37" s="119">
        <f t="shared" si="19"/>
        <v>-288</v>
      </c>
      <c r="AC37" s="119">
        <f t="shared" si="19"/>
        <v>-300</v>
      </c>
      <c r="AD37" s="119">
        <f t="shared" si="19"/>
        <v>-312</v>
      </c>
      <c r="AE37" s="119">
        <f t="shared" si="19"/>
        <v>-324</v>
      </c>
      <c r="AF37" s="119">
        <f t="shared" si="19"/>
        <v>-336</v>
      </c>
      <c r="AG37" s="120">
        <f t="shared" si="19"/>
        <v>-348</v>
      </c>
    </row>
    <row r="38" spans="2:33" ht="15.75" hidden="1" customHeight="1" x14ac:dyDescent="0.25">
      <c r="B38" s="133" t="s">
        <v>305</v>
      </c>
      <c r="C38" s="121">
        <f>Sources!C9</f>
        <v>0</v>
      </c>
      <c r="D38" s="122">
        <f>IF($C$38=0,0,PMT($C$36/12,$D$37,-$C$38))</f>
        <v>0</v>
      </c>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4"/>
    </row>
    <row r="39" spans="2:33" ht="15.75" hidden="1" customHeight="1" x14ac:dyDescent="0.25">
      <c r="B39" s="133" t="s">
        <v>306</v>
      </c>
      <c r="C39" s="125">
        <f>Sources!H9</f>
        <v>0</v>
      </c>
      <c r="D39" s="126">
        <f t="shared" ref="D39:AF39" si="20">IF($C$37&lt;D35,0,$D$38*12)</f>
        <v>0</v>
      </c>
      <c r="E39" s="126">
        <f t="shared" si="20"/>
        <v>0</v>
      </c>
      <c r="F39" s="126">
        <f t="shared" si="20"/>
        <v>0</v>
      </c>
      <c r="G39" s="126">
        <f t="shared" si="20"/>
        <v>0</v>
      </c>
      <c r="H39" s="126">
        <f t="shared" si="20"/>
        <v>0</v>
      </c>
      <c r="I39" s="126">
        <f t="shared" si="20"/>
        <v>0</v>
      </c>
      <c r="J39" s="126">
        <f t="shared" si="20"/>
        <v>0</v>
      </c>
      <c r="K39" s="126">
        <f t="shared" si="20"/>
        <v>0</v>
      </c>
      <c r="L39" s="126">
        <f t="shared" si="20"/>
        <v>0</v>
      </c>
      <c r="M39" s="126">
        <f t="shared" si="20"/>
        <v>0</v>
      </c>
      <c r="N39" s="126">
        <f t="shared" si="20"/>
        <v>0</v>
      </c>
      <c r="O39" s="126">
        <f t="shared" si="20"/>
        <v>0</v>
      </c>
      <c r="P39" s="126">
        <f t="shared" si="20"/>
        <v>0</v>
      </c>
      <c r="Q39" s="126">
        <f t="shared" si="20"/>
        <v>0</v>
      </c>
      <c r="R39" s="126">
        <f t="shared" si="20"/>
        <v>0</v>
      </c>
      <c r="S39" s="126">
        <f t="shared" si="20"/>
        <v>0</v>
      </c>
      <c r="T39" s="126">
        <f t="shared" si="20"/>
        <v>0</v>
      </c>
      <c r="U39" s="126">
        <f t="shared" si="20"/>
        <v>0</v>
      </c>
      <c r="V39" s="126">
        <f t="shared" si="20"/>
        <v>0</v>
      </c>
      <c r="W39" s="126">
        <f t="shared" si="20"/>
        <v>0</v>
      </c>
      <c r="X39" s="126">
        <f t="shared" si="20"/>
        <v>0</v>
      </c>
      <c r="Y39" s="126">
        <f t="shared" si="20"/>
        <v>0</v>
      </c>
      <c r="Z39" s="126">
        <f t="shared" si="20"/>
        <v>0</v>
      </c>
      <c r="AA39" s="126">
        <f t="shared" si="20"/>
        <v>0</v>
      </c>
      <c r="AB39" s="126">
        <f t="shared" si="20"/>
        <v>0</v>
      </c>
      <c r="AC39" s="126">
        <f t="shared" si="20"/>
        <v>0</v>
      </c>
      <c r="AD39" s="126">
        <f t="shared" si="20"/>
        <v>0</v>
      </c>
      <c r="AE39" s="126">
        <f t="shared" si="20"/>
        <v>0</v>
      </c>
      <c r="AF39" s="126">
        <f t="shared" si="20"/>
        <v>0</v>
      </c>
      <c r="AG39" s="127">
        <f>IF($C$37&lt;AG35,0,$D$38*12)</f>
        <v>0</v>
      </c>
    </row>
    <row r="40" spans="2:33" ht="15.75" hidden="1" customHeight="1" x14ac:dyDescent="0.25">
      <c r="B40" s="133" t="s">
        <v>307</v>
      </c>
      <c r="C40" s="144"/>
      <c r="D40" s="103" t="str">
        <f t="shared" ref="D40:AG40" si="21">IF($C$37&lt;D35,"",D39-D41)</f>
        <v/>
      </c>
      <c r="E40" s="103" t="str">
        <f t="shared" si="21"/>
        <v/>
      </c>
      <c r="F40" s="103" t="str">
        <f t="shared" si="21"/>
        <v/>
      </c>
      <c r="G40" s="103" t="str">
        <f t="shared" si="21"/>
        <v/>
      </c>
      <c r="H40" s="103" t="str">
        <f t="shared" si="21"/>
        <v/>
      </c>
      <c r="I40" s="103" t="str">
        <f t="shared" si="21"/>
        <v/>
      </c>
      <c r="J40" s="103" t="str">
        <f t="shared" si="21"/>
        <v/>
      </c>
      <c r="K40" s="103" t="str">
        <f t="shared" si="21"/>
        <v/>
      </c>
      <c r="L40" s="103" t="str">
        <f t="shared" si="21"/>
        <v/>
      </c>
      <c r="M40" s="103" t="str">
        <f t="shared" si="21"/>
        <v/>
      </c>
      <c r="N40" s="103" t="str">
        <f t="shared" si="21"/>
        <v/>
      </c>
      <c r="O40" s="103" t="str">
        <f t="shared" si="21"/>
        <v/>
      </c>
      <c r="P40" s="103" t="str">
        <f t="shared" si="21"/>
        <v/>
      </c>
      <c r="Q40" s="103" t="str">
        <f t="shared" si="21"/>
        <v/>
      </c>
      <c r="R40" s="103" t="str">
        <f t="shared" si="21"/>
        <v/>
      </c>
      <c r="S40" s="103" t="str">
        <f t="shared" si="21"/>
        <v/>
      </c>
      <c r="T40" s="103" t="str">
        <f t="shared" si="21"/>
        <v/>
      </c>
      <c r="U40" s="103" t="str">
        <f t="shared" si="21"/>
        <v/>
      </c>
      <c r="V40" s="103" t="str">
        <f t="shared" si="21"/>
        <v/>
      </c>
      <c r="W40" s="103" t="str">
        <f t="shared" si="21"/>
        <v/>
      </c>
      <c r="X40" s="103" t="str">
        <f t="shared" si="21"/>
        <v/>
      </c>
      <c r="Y40" s="103" t="str">
        <f t="shared" si="21"/>
        <v/>
      </c>
      <c r="Z40" s="103" t="str">
        <f t="shared" si="21"/>
        <v/>
      </c>
      <c r="AA40" s="103" t="str">
        <f t="shared" si="21"/>
        <v/>
      </c>
      <c r="AB40" s="103" t="str">
        <f t="shared" si="21"/>
        <v/>
      </c>
      <c r="AC40" s="103" t="str">
        <f t="shared" si="21"/>
        <v/>
      </c>
      <c r="AD40" s="103" t="str">
        <f t="shared" si="21"/>
        <v/>
      </c>
      <c r="AE40" s="103" t="str">
        <f t="shared" si="21"/>
        <v/>
      </c>
      <c r="AF40" s="103" t="str">
        <f t="shared" si="21"/>
        <v/>
      </c>
      <c r="AG40" s="104" t="str">
        <f t="shared" si="21"/>
        <v/>
      </c>
    </row>
    <row r="41" spans="2:33" ht="15.75" hidden="1" customHeight="1" x14ac:dyDescent="0.25">
      <c r="B41" s="133" t="s">
        <v>308</v>
      </c>
      <c r="C41" s="144"/>
      <c r="D41" s="128" t="str">
        <f>IF($C$37&lt;D35,"",PV($C$36/12,D37,-($D$38))-PV($C$36/12,E37,-($D$38)))</f>
        <v/>
      </c>
      <c r="E41" s="128" t="str">
        <f t="shared" ref="E41:AG41" si="22">IF($C$37&lt;E35,"",PV($C$36/12,E37,-($D$38))-PV($C$36/12,F37,-($D$38)))</f>
        <v/>
      </c>
      <c r="F41" s="128" t="str">
        <f t="shared" si="22"/>
        <v/>
      </c>
      <c r="G41" s="128" t="str">
        <f t="shared" si="22"/>
        <v/>
      </c>
      <c r="H41" s="128" t="str">
        <f t="shared" si="22"/>
        <v/>
      </c>
      <c r="I41" s="128" t="str">
        <f t="shared" si="22"/>
        <v/>
      </c>
      <c r="J41" s="128" t="str">
        <f t="shared" si="22"/>
        <v/>
      </c>
      <c r="K41" s="128" t="str">
        <f t="shared" si="22"/>
        <v/>
      </c>
      <c r="L41" s="128" t="str">
        <f t="shared" si="22"/>
        <v/>
      </c>
      <c r="M41" s="128" t="str">
        <f t="shared" si="22"/>
        <v/>
      </c>
      <c r="N41" s="128" t="str">
        <f t="shared" si="22"/>
        <v/>
      </c>
      <c r="O41" s="128" t="str">
        <f t="shared" si="22"/>
        <v/>
      </c>
      <c r="P41" s="128" t="str">
        <f t="shared" si="22"/>
        <v/>
      </c>
      <c r="Q41" s="128" t="str">
        <f t="shared" si="22"/>
        <v/>
      </c>
      <c r="R41" s="128" t="str">
        <f t="shared" si="22"/>
        <v/>
      </c>
      <c r="S41" s="128" t="str">
        <f t="shared" si="22"/>
        <v/>
      </c>
      <c r="T41" s="128" t="str">
        <f t="shared" si="22"/>
        <v/>
      </c>
      <c r="U41" s="128" t="str">
        <f t="shared" si="22"/>
        <v/>
      </c>
      <c r="V41" s="128" t="str">
        <f t="shared" si="22"/>
        <v/>
      </c>
      <c r="W41" s="128" t="str">
        <f t="shared" si="22"/>
        <v/>
      </c>
      <c r="X41" s="128" t="str">
        <f t="shared" si="22"/>
        <v/>
      </c>
      <c r="Y41" s="128" t="str">
        <f t="shared" si="22"/>
        <v/>
      </c>
      <c r="Z41" s="128" t="str">
        <f t="shared" si="22"/>
        <v/>
      </c>
      <c r="AA41" s="128" t="str">
        <f t="shared" si="22"/>
        <v/>
      </c>
      <c r="AB41" s="128" t="str">
        <f t="shared" si="22"/>
        <v/>
      </c>
      <c r="AC41" s="128" t="str">
        <f t="shared" si="22"/>
        <v/>
      </c>
      <c r="AD41" s="128" t="str">
        <f t="shared" si="22"/>
        <v/>
      </c>
      <c r="AE41" s="128" t="str">
        <f t="shared" si="22"/>
        <v/>
      </c>
      <c r="AF41" s="128" t="str">
        <f t="shared" si="22"/>
        <v/>
      </c>
      <c r="AG41" s="112" t="str">
        <f t="shared" si="22"/>
        <v/>
      </c>
    </row>
    <row r="42" spans="2:33" ht="15.75" hidden="1" customHeight="1" x14ac:dyDescent="0.25">
      <c r="B42" s="145" t="s">
        <v>309</v>
      </c>
      <c r="C42" s="146"/>
      <c r="D42" s="129" t="str">
        <f>IF($C$37&lt;D35,"",C38-D41)</f>
        <v/>
      </c>
      <c r="E42" s="129" t="str">
        <f t="shared" ref="E42:AG42" si="23">IF($C$37&lt;E35,"",D42-E41)</f>
        <v/>
      </c>
      <c r="F42" s="129" t="str">
        <f t="shared" si="23"/>
        <v/>
      </c>
      <c r="G42" s="129" t="str">
        <f t="shared" si="23"/>
        <v/>
      </c>
      <c r="H42" s="129" t="str">
        <f t="shared" si="23"/>
        <v/>
      </c>
      <c r="I42" s="129" t="str">
        <f t="shared" si="23"/>
        <v/>
      </c>
      <c r="J42" s="129" t="str">
        <f t="shared" si="23"/>
        <v/>
      </c>
      <c r="K42" s="129" t="str">
        <f t="shared" si="23"/>
        <v/>
      </c>
      <c r="L42" s="129" t="str">
        <f t="shared" si="23"/>
        <v/>
      </c>
      <c r="M42" s="129" t="str">
        <f t="shared" si="23"/>
        <v/>
      </c>
      <c r="N42" s="129" t="str">
        <f t="shared" si="23"/>
        <v/>
      </c>
      <c r="O42" s="129" t="str">
        <f t="shared" si="23"/>
        <v/>
      </c>
      <c r="P42" s="129" t="str">
        <f t="shared" si="23"/>
        <v/>
      </c>
      <c r="Q42" s="129" t="str">
        <f t="shared" si="23"/>
        <v/>
      </c>
      <c r="R42" s="129" t="str">
        <f t="shared" si="23"/>
        <v/>
      </c>
      <c r="S42" s="129" t="str">
        <f t="shared" si="23"/>
        <v/>
      </c>
      <c r="T42" s="129" t="str">
        <f t="shared" si="23"/>
        <v/>
      </c>
      <c r="U42" s="129" t="str">
        <f t="shared" si="23"/>
        <v/>
      </c>
      <c r="V42" s="129" t="str">
        <f t="shared" si="23"/>
        <v/>
      </c>
      <c r="W42" s="129" t="str">
        <f t="shared" si="23"/>
        <v/>
      </c>
      <c r="X42" s="129" t="str">
        <f t="shared" si="23"/>
        <v/>
      </c>
      <c r="Y42" s="129" t="str">
        <f t="shared" si="23"/>
        <v/>
      </c>
      <c r="Z42" s="129" t="str">
        <f t="shared" si="23"/>
        <v/>
      </c>
      <c r="AA42" s="129" t="str">
        <f t="shared" si="23"/>
        <v/>
      </c>
      <c r="AB42" s="129" t="str">
        <f t="shared" si="23"/>
        <v/>
      </c>
      <c r="AC42" s="129" t="str">
        <f t="shared" si="23"/>
        <v/>
      </c>
      <c r="AD42" s="129" t="str">
        <f t="shared" si="23"/>
        <v/>
      </c>
      <c r="AE42" s="129" t="str">
        <f t="shared" si="23"/>
        <v/>
      </c>
      <c r="AF42" s="129" t="str">
        <f t="shared" si="23"/>
        <v/>
      </c>
      <c r="AG42" s="130" t="str">
        <f t="shared" si="23"/>
        <v/>
      </c>
    </row>
    <row r="43" spans="2:33" ht="15.75" hidden="1" customHeight="1" x14ac:dyDescent="0.3">
      <c r="B43" s="131"/>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row>
    <row r="44" spans="2:33" ht="15.75" customHeight="1" x14ac:dyDescent="0.25">
      <c r="B44" s="246" t="s">
        <v>62</v>
      </c>
      <c r="C44" s="194"/>
      <c r="D44" s="247">
        <v>1</v>
      </c>
      <c r="E44" s="247">
        <v>2</v>
      </c>
      <c r="F44" s="247">
        <v>3</v>
      </c>
      <c r="G44" s="247">
        <v>4</v>
      </c>
      <c r="H44" s="247">
        <v>5</v>
      </c>
      <c r="I44" s="247">
        <v>6</v>
      </c>
      <c r="J44" s="247">
        <v>7</v>
      </c>
      <c r="K44" s="247">
        <v>8</v>
      </c>
      <c r="L44" s="247">
        <v>9</v>
      </c>
      <c r="M44" s="247">
        <v>10</v>
      </c>
      <c r="N44" s="247">
        <v>11</v>
      </c>
      <c r="O44" s="247">
        <v>12</v>
      </c>
      <c r="P44" s="247">
        <v>13</v>
      </c>
      <c r="Q44" s="247">
        <v>14</v>
      </c>
      <c r="R44" s="247">
        <v>15</v>
      </c>
      <c r="S44" s="247">
        <v>16</v>
      </c>
      <c r="T44" s="247">
        <v>17</v>
      </c>
      <c r="U44" s="247">
        <v>18</v>
      </c>
      <c r="V44" s="247">
        <v>19</v>
      </c>
      <c r="W44" s="247">
        <v>20</v>
      </c>
      <c r="X44" s="247">
        <v>21</v>
      </c>
      <c r="Y44" s="247">
        <v>22</v>
      </c>
      <c r="Z44" s="247">
        <v>23</v>
      </c>
      <c r="AA44" s="247">
        <v>24</v>
      </c>
      <c r="AB44" s="247">
        <v>25</v>
      </c>
      <c r="AC44" s="247">
        <v>26</v>
      </c>
      <c r="AD44" s="247">
        <v>27</v>
      </c>
      <c r="AE44" s="247">
        <v>28</v>
      </c>
      <c r="AF44" s="247">
        <v>29</v>
      </c>
      <c r="AG44" s="248">
        <v>30</v>
      </c>
    </row>
    <row r="45" spans="2:33" ht="15.75" customHeight="1" x14ac:dyDescent="0.25">
      <c r="B45" s="133" t="str">
        <f>B36</f>
        <v>Interest Rate</v>
      </c>
      <c r="C45" s="134">
        <f>Sources!E10</f>
        <v>0</v>
      </c>
      <c r="E45" s="469" t="s">
        <v>310</v>
      </c>
      <c r="F45" s="470"/>
      <c r="G45" s="469" t="s">
        <v>311</v>
      </c>
      <c r="H45" s="470"/>
      <c r="AG45" s="203"/>
    </row>
    <row r="46" spans="2:33" ht="15.75" customHeight="1" x14ac:dyDescent="0.25">
      <c r="B46" s="133" t="str">
        <f>B37</f>
        <v>Term</v>
      </c>
      <c r="C46" s="135">
        <f>Sources!F10</f>
        <v>0</v>
      </c>
      <c r="E46" s="472" t="s">
        <v>312</v>
      </c>
      <c r="F46" s="473"/>
      <c r="G46" s="474">
        <f>SUM(D51:W51)</f>
        <v>0</v>
      </c>
      <c r="H46" s="475"/>
      <c r="J46" s="136"/>
      <c r="AG46" s="203"/>
    </row>
    <row r="47" spans="2:33" ht="15.75" customHeight="1" x14ac:dyDescent="0.25">
      <c r="B47" s="133" t="str">
        <f>B38</f>
        <v>Loan Principal</v>
      </c>
      <c r="C47" s="137">
        <f>Sources!C10</f>
        <v>0</v>
      </c>
      <c r="E47" s="476">
        <f>IF(C47=0,0,SUM(D49:W49)/C47)</f>
        <v>0</v>
      </c>
      <c r="F47" s="477"/>
      <c r="G47" s="138" t="s">
        <v>313</v>
      </c>
      <c r="H47" s="139">
        <f>SUM(D48:W48)</f>
        <v>0</v>
      </c>
      <c r="J47" s="136"/>
      <c r="AG47" s="203"/>
    </row>
    <row r="48" spans="2:33" ht="15.75" customHeight="1" x14ac:dyDescent="0.25">
      <c r="B48" s="133" t="s">
        <v>307</v>
      </c>
      <c r="C48" s="135"/>
      <c r="D48" s="105" t="str">
        <f>IF($C$47&gt;0,C47*$C$45,"")</f>
        <v/>
      </c>
      <c r="E48" s="105" t="str">
        <f>IF($C$47&gt;0,D$50*$C$45,"")</f>
        <v/>
      </c>
      <c r="F48" s="105" t="str">
        <f t="shared" ref="F48:W48" si="24">IF($C$47&gt;0,E$50*$C$45,"")</f>
        <v/>
      </c>
      <c r="G48" s="105" t="str">
        <f t="shared" si="24"/>
        <v/>
      </c>
      <c r="H48" s="105" t="str">
        <f t="shared" si="24"/>
        <v/>
      </c>
      <c r="I48" s="105" t="str">
        <f t="shared" si="24"/>
        <v/>
      </c>
      <c r="J48" s="105" t="str">
        <f t="shared" si="24"/>
        <v/>
      </c>
      <c r="K48" s="105" t="str">
        <f t="shared" si="24"/>
        <v/>
      </c>
      <c r="L48" s="105" t="str">
        <f t="shared" si="24"/>
        <v/>
      </c>
      <c r="M48" s="105" t="str">
        <f t="shared" si="24"/>
        <v/>
      </c>
      <c r="N48" s="105" t="str">
        <f t="shared" si="24"/>
        <v/>
      </c>
      <c r="O48" s="105" t="str">
        <f t="shared" si="24"/>
        <v/>
      </c>
      <c r="P48" s="105" t="str">
        <f t="shared" si="24"/>
        <v/>
      </c>
      <c r="Q48" s="105" t="str">
        <f t="shared" si="24"/>
        <v/>
      </c>
      <c r="R48" s="105" t="str">
        <f t="shared" si="24"/>
        <v/>
      </c>
      <c r="S48" s="105" t="str">
        <f t="shared" si="24"/>
        <v/>
      </c>
      <c r="T48" s="105" t="str">
        <f t="shared" si="24"/>
        <v/>
      </c>
      <c r="U48" s="105" t="str">
        <f t="shared" si="24"/>
        <v/>
      </c>
      <c r="V48" s="105" t="str">
        <f t="shared" si="24"/>
        <v/>
      </c>
      <c r="W48" s="105" t="str">
        <f t="shared" si="24"/>
        <v/>
      </c>
      <c r="AG48" s="203"/>
    </row>
    <row r="49" spans="2:33" ht="15.75" customHeight="1" x14ac:dyDescent="0.25">
      <c r="B49" s="133" t="s">
        <v>308</v>
      </c>
      <c r="C49" s="135"/>
      <c r="D49" s="105" t="str">
        <f>IF($C$47&gt;0,D51-D48,"")</f>
        <v/>
      </c>
      <c r="E49" s="105" t="str">
        <f>IF($C$47&gt;0,E51-E48,"")</f>
        <v/>
      </c>
      <c r="F49" s="105" t="str">
        <f t="shared" ref="F49:W49" si="25">IF($C$47&gt;0,F51-F48,"")</f>
        <v/>
      </c>
      <c r="G49" s="105" t="str">
        <f t="shared" si="25"/>
        <v/>
      </c>
      <c r="H49" s="105" t="str">
        <f t="shared" si="25"/>
        <v/>
      </c>
      <c r="I49" s="105" t="str">
        <f t="shared" si="25"/>
        <v/>
      </c>
      <c r="J49" s="105" t="str">
        <f t="shared" si="25"/>
        <v/>
      </c>
      <c r="K49" s="105" t="str">
        <f t="shared" si="25"/>
        <v/>
      </c>
      <c r="L49" s="105" t="str">
        <f t="shared" si="25"/>
        <v/>
      </c>
      <c r="M49" s="105" t="str">
        <f t="shared" si="25"/>
        <v/>
      </c>
      <c r="N49" s="105" t="str">
        <f t="shared" si="25"/>
        <v/>
      </c>
      <c r="O49" s="105" t="str">
        <f t="shared" si="25"/>
        <v/>
      </c>
      <c r="P49" s="105" t="str">
        <f t="shared" si="25"/>
        <v/>
      </c>
      <c r="Q49" s="105" t="str">
        <f t="shared" si="25"/>
        <v/>
      </c>
      <c r="R49" s="105" t="str">
        <f t="shared" si="25"/>
        <v/>
      </c>
      <c r="S49" s="105" t="str">
        <f t="shared" si="25"/>
        <v/>
      </c>
      <c r="T49" s="105" t="str">
        <f t="shared" si="25"/>
        <v/>
      </c>
      <c r="U49" s="105" t="str">
        <f t="shared" si="25"/>
        <v/>
      </c>
      <c r="V49" s="105" t="str">
        <f t="shared" si="25"/>
        <v/>
      </c>
      <c r="W49" s="105" t="str">
        <f t="shared" si="25"/>
        <v/>
      </c>
      <c r="AG49" s="203"/>
    </row>
    <row r="50" spans="2:33" ht="15.75" customHeight="1" x14ac:dyDescent="0.25">
      <c r="B50" s="133" t="s">
        <v>309</v>
      </c>
      <c r="D50" s="103" t="str">
        <f>IF($C$47&gt;0,C47-D49,"")</f>
        <v/>
      </c>
      <c r="E50" s="103" t="str">
        <f>IF($C$47&gt;0,D$50-E$49,"")</f>
        <v/>
      </c>
      <c r="F50" s="103" t="str">
        <f t="shared" ref="F50:W50" si="26">IF($C$47&gt;0,E$50-F$49,"")</f>
        <v/>
      </c>
      <c r="G50" s="103" t="str">
        <f t="shared" si="26"/>
        <v/>
      </c>
      <c r="H50" s="103" t="str">
        <f t="shared" si="26"/>
        <v/>
      </c>
      <c r="I50" s="103" t="str">
        <f t="shared" si="26"/>
        <v/>
      </c>
      <c r="J50" s="103" t="str">
        <f t="shared" si="26"/>
        <v/>
      </c>
      <c r="K50" s="103" t="str">
        <f t="shared" si="26"/>
        <v/>
      </c>
      <c r="L50" s="103" t="str">
        <f t="shared" si="26"/>
        <v/>
      </c>
      <c r="M50" s="103" t="str">
        <f t="shared" si="26"/>
        <v/>
      </c>
      <c r="N50" s="103" t="str">
        <f t="shared" si="26"/>
        <v/>
      </c>
      <c r="O50" s="103" t="str">
        <f t="shared" si="26"/>
        <v/>
      </c>
      <c r="P50" s="103" t="str">
        <f t="shared" si="26"/>
        <v/>
      </c>
      <c r="Q50" s="103" t="str">
        <f t="shared" si="26"/>
        <v/>
      </c>
      <c r="R50" s="103" t="str">
        <f t="shared" si="26"/>
        <v/>
      </c>
      <c r="S50" s="103" t="str">
        <f t="shared" si="26"/>
        <v/>
      </c>
      <c r="T50" s="103" t="str">
        <f t="shared" si="26"/>
        <v/>
      </c>
      <c r="U50" s="103" t="str">
        <f t="shared" si="26"/>
        <v/>
      </c>
      <c r="V50" s="103" t="str">
        <f t="shared" si="26"/>
        <v/>
      </c>
      <c r="W50" s="103" t="str">
        <f t="shared" si="26"/>
        <v/>
      </c>
      <c r="AG50" s="203"/>
    </row>
    <row r="51" spans="2:33" ht="15.75" customHeight="1" x14ac:dyDescent="0.25">
      <c r="B51" s="140" t="s">
        <v>314</v>
      </c>
      <c r="C51" s="141"/>
      <c r="D51" s="249">
        <f>IF($C$47&gt;0,D93,0)</f>
        <v>0</v>
      </c>
      <c r="E51" s="249">
        <f t="shared" ref="E51:W51" si="27">IF($C$47&gt;0,E93,0)</f>
        <v>0</v>
      </c>
      <c r="F51" s="249">
        <f t="shared" si="27"/>
        <v>0</v>
      </c>
      <c r="G51" s="249">
        <f t="shared" si="27"/>
        <v>0</v>
      </c>
      <c r="H51" s="249">
        <f t="shared" si="27"/>
        <v>0</v>
      </c>
      <c r="I51" s="249">
        <f t="shared" si="27"/>
        <v>0</v>
      </c>
      <c r="J51" s="249">
        <f t="shared" si="27"/>
        <v>0</v>
      </c>
      <c r="K51" s="249">
        <f t="shared" si="27"/>
        <v>0</v>
      </c>
      <c r="L51" s="249">
        <f t="shared" si="27"/>
        <v>0</v>
      </c>
      <c r="M51" s="249">
        <f t="shared" si="27"/>
        <v>0</v>
      </c>
      <c r="N51" s="249">
        <f t="shared" si="27"/>
        <v>0</v>
      </c>
      <c r="O51" s="249">
        <f t="shared" si="27"/>
        <v>0</v>
      </c>
      <c r="P51" s="249">
        <f t="shared" si="27"/>
        <v>0</v>
      </c>
      <c r="Q51" s="249">
        <f t="shared" si="27"/>
        <v>0</v>
      </c>
      <c r="R51" s="249">
        <f t="shared" si="27"/>
        <v>0</v>
      </c>
      <c r="S51" s="249">
        <f t="shared" si="27"/>
        <v>0</v>
      </c>
      <c r="T51" s="249">
        <f t="shared" si="27"/>
        <v>0</v>
      </c>
      <c r="U51" s="249">
        <f t="shared" si="27"/>
        <v>0</v>
      </c>
      <c r="V51" s="249">
        <f t="shared" si="27"/>
        <v>0</v>
      </c>
      <c r="W51" s="249">
        <f t="shared" si="27"/>
        <v>0</v>
      </c>
      <c r="X51" s="360"/>
      <c r="Y51" s="361"/>
      <c r="Z51" s="361"/>
      <c r="AA51" s="361"/>
      <c r="AB51" s="361"/>
      <c r="AC51" s="361"/>
      <c r="AD51" s="361"/>
      <c r="AE51" s="361"/>
      <c r="AF51" s="361"/>
      <c r="AG51" s="362"/>
    </row>
    <row r="52" spans="2:33" ht="15.75" hidden="1" customHeight="1" x14ac:dyDescent="0.3">
      <c r="B52" s="142" t="s">
        <v>315</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204"/>
    </row>
    <row r="53" spans="2:33" ht="15.75" hidden="1" customHeight="1" x14ac:dyDescent="0.25">
      <c r="B53" s="246" t="str">
        <f>Sources!B11</f>
        <v>Local Government Loan</v>
      </c>
      <c r="C53" s="194"/>
      <c r="D53" s="247">
        <v>1</v>
      </c>
      <c r="E53" s="247">
        <v>2</v>
      </c>
      <c r="F53" s="247">
        <v>3</v>
      </c>
      <c r="G53" s="247">
        <v>4</v>
      </c>
      <c r="H53" s="247">
        <v>5</v>
      </c>
      <c r="I53" s="247">
        <v>6</v>
      </c>
      <c r="J53" s="247">
        <v>7</v>
      </c>
      <c r="K53" s="247">
        <v>8</v>
      </c>
      <c r="L53" s="247">
        <v>9</v>
      </c>
      <c r="M53" s="247">
        <v>10</v>
      </c>
      <c r="N53" s="247">
        <v>11</v>
      </c>
      <c r="O53" s="247">
        <v>12</v>
      </c>
      <c r="P53" s="247">
        <v>13</v>
      </c>
      <c r="Q53" s="247">
        <v>14</v>
      </c>
      <c r="R53" s="247">
        <v>15</v>
      </c>
      <c r="S53" s="247">
        <v>16</v>
      </c>
      <c r="T53" s="247">
        <v>17</v>
      </c>
      <c r="U53" s="247">
        <v>18</v>
      </c>
      <c r="V53" s="247">
        <v>19</v>
      </c>
      <c r="W53" s="247">
        <v>20</v>
      </c>
      <c r="X53" s="247">
        <v>21</v>
      </c>
      <c r="Y53" s="247">
        <v>22</v>
      </c>
      <c r="Z53" s="247">
        <v>23</v>
      </c>
      <c r="AA53" s="247">
        <v>24</v>
      </c>
      <c r="AB53" s="247">
        <v>25</v>
      </c>
      <c r="AC53" s="247">
        <v>26</v>
      </c>
      <c r="AD53" s="247">
        <v>27</v>
      </c>
      <c r="AE53" s="247">
        <v>28</v>
      </c>
      <c r="AF53" s="247">
        <v>29</v>
      </c>
      <c r="AG53" s="248">
        <v>30</v>
      </c>
    </row>
    <row r="54" spans="2:33" ht="15.75" hidden="1" customHeight="1" x14ac:dyDescent="0.25">
      <c r="B54" s="133" t="str">
        <f>B45</f>
        <v>Interest Rate</v>
      </c>
      <c r="C54" s="134">
        <f>Sources!E11</f>
        <v>0</v>
      </c>
      <c r="AG54" s="203"/>
    </row>
    <row r="55" spans="2:33" ht="15.75" hidden="1" customHeight="1" x14ac:dyDescent="0.25">
      <c r="B55" s="133" t="str">
        <f>B46</f>
        <v>Term</v>
      </c>
      <c r="C55" s="135">
        <f>Sources!F11</f>
        <v>0</v>
      </c>
      <c r="D55" s="119">
        <f>Sources!G11*12</f>
        <v>0</v>
      </c>
      <c r="E55" s="119">
        <f>D55-12</f>
        <v>-12</v>
      </c>
      <c r="F55" s="119">
        <f t="shared" ref="F55:AG55" si="28">E55-12</f>
        <v>-24</v>
      </c>
      <c r="G55" s="119">
        <f t="shared" si="28"/>
        <v>-36</v>
      </c>
      <c r="H55" s="119">
        <f t="shared" si="28"/>
        <v>-48</v>
      </c>
      <c r="I55" s="119">
        <f t="shared" si="28"/>
        <v>-60</v>
      </c>
      <c r="J55" s="119">
        <f t="shared" si="28"/>
        <v>-72</v>
      </c>
      <c r="K55" s="119">
        <f t="shared" si="28"/>
        <v>-84</v>
      </c>
      <c r="L55" s="119">
        <f t="shared" si="28"/>
        <v>-96</v>
      </c>
      <c r="M55" s="119">
        <f t="shared" si="28"/>
        <v>-108</v>
      </c>
      <c r="N55" s="119">
        <f t="shared" si="28"/>
        <v>-120</v>
      </c>
      <c r="O55" s="119">
        <f t="shared" si="28"/>
        <v>-132</v>
      </c>
      <c r="P55" s="119">
        <f t="shared" si="28"/>
        <v>-144</v>
      </c>
      <c r="Q55" s="119">
        <f t="shared" si="28"/>
        <v>-156</v>
      </c>
      <c r="R55" s="119">
        <f t="shared" si="28"/>
        <v>-168</v>
      </c>
      <c r="S55" s="119">
        <f t="shared" si="28"/>
        <v>-180</v>
      </c>
      <c r="T55" s="119">
        <f t="shared" si="28"/>
        <v>-192</v>
      </c>
      <c r="U55" s="119">
        <f t="shared" si="28"/>
        <v>-204</v>
      </c>
      <c r="V55" s="119">
        <f t="shared" si="28"/>
        <v>-216</v>
      </c>
      <c r="W55" s="119">
        <f t="shared" si="28"/>
        <v>-228</v>
      </c>
      <c r="X55" s="119">
        <f t="shared" si="28"/>
        <v>-240</v>
      </c>
      <c r="Y55" s="119">
        <f t="shared" si="28"/>
        <v>-252</v>
      </c>
      <c r="Z55" s="119">
        <f t="shared" si="28"/>
        <v>-264</v>
      </c>
      <c r="AA55" s="119">
        <f t="shared" si="28"/>
        <v>-276</v>
      </c>
      <c r="AB55" s="119">
        <f t="shared" si="28"/>
        <v>-288</v>
      </c>
      <c r="AC55" s="119">
        <f t="shared" si="28"/>
        <v>-300</v>
      </c>
      <c r="AD55" s="119">
        <f t="shared" si="28"/>
        <v>-312</v>
      </c>
      <c r="AE55" s="119">
        <f t="shared" si="28"/>
        <v>-324</v>
      </c>
      <c r="AF55" s="119">
        <f t="shared" si="28"/>
        <v>-336</v>
      </c>
      <c r="AG55" s="120">
        <f t="shared" si="28"/>
        <v>-348</v>
      </c>
    </row>
    <row r="56" spans="2:33" ht="15.75" hidden="1" customHeight="1" x14ac:dyDescent="0.25">
      <c r="B56" s="133" t="str">
        <f>B47</f>
        <v>Loan Principal</v>
      </c>
      <c r="C56" s="137">
        <f>Sources!C11</f>
        <v>0</v>
      </c>
      <c r="D56" s="122">
        <f>IF($C$56=0,0,PMT($C$54/12,$D$55,-$C$56))</f>
        <v>0</v>
      </c>
      <c r="E56" s="116"/>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15"/>
    </row>
    <row r="57" spans="2:33" ht="15.75" hidden="1" customHeight="1" x14ac:dyDescent="0.25">
      <c r="B57" s="133" t="s">
        <v>306</v>
      </c>
      <c r="C57" s="143">
        <f>Sources!H11</f>
        <v>0</v>
      </c>
      <c r="D57" s="126">
        <f>IF($C$55&lt;D53,0,$D$56*12)</f>
        <v>0</v>
      </c>
      <c r="E57" s="126">
        <f t="shared" ref="E57:AG57" si="29">IF($C$55&lt;E53,0,$D$56*12)</f>
        <v>0</v>
      </c>
      <c r="F57" s="126">
        <f t="shared" si="29"/>
        <v>0</v>
      </c>
      <c r="G57" s="126">
        <f t="shared" si="29"/>
        <v>0</v>
      </c>
      <c r="H57" s="126">
        <f t="shared" si="29"/>
        <v>0</v>
      </c>
      <c r="I57" s="126">
        <f t="shared" si="29"/>
        <v>0</v>
      </c>
      <c r="J57" s="126">
        <f t="shared" si="29"/>
        <v>0</v>
      </c>
      <c r="K57" s="126">
        <f t="shared" si="29"/>
        <v>0</v>
      </c>
      <c r="L57" s="126">
        <f t="shared" si="29"/>
        <v>0</v>
      </c>
      <c r="M57" s="126">
        <f t="shared" si="29"/>
        <v>0</v>
      </c>
      <c r="N57" s="126">
        <f t="shared" si="29"/>
        <v>0</v>
      </c>
      <c r="O57" s="126">
        <f t="shared" si="29"/>
        <v>0</v>
      </c>
      <c r="P57" s="126">
        <f t="shared" si="29"/>
        <v>0</v>
      </c>
      <c r="Q57" s="126">
        <f t="shared" si="29"/>
        <v>0</v>
      </c>
      <c r="R57" s="126">
        <f t="shared" si="29"/>
        <v>0</v>
      </c>
      <c r="S57" s="126">
        <f t="shared" si="29"/>
        <v>0</v>
      </c>
      <c r="T57" s="126">
        <f t="shared" si="29"/>
        <v>0</v>
      </c>
      <c r="U57" s="126">
        <f t="shared" si="29"/>
        <v>0</v>
      </c>
      <c r="V57" s="126">
        <f t="shared" si="29"/>
        <v>0</v>
      </c>
      <c r="W57" s="126">
        <f t="shared" si="29"/>
        <v>0</v>
      </c>
      <c r="X57" s="126">
        <f t="shared" si="29"/>
        <v>0</v>
      </c>
      <c r="Y57" s="126">
        <f t="shared" si="29"/>
        <v>0</v>
      </c>
      <c r="Z57" s="126">
        <f t="shared" si="29"/>
        <v>0</v>
      </c>
      <c r="AA57" s="126">
        <f t="shared" si="29"/>
        <v>0</v>
      </c>
      <c r="AB57" s="126">
        <f t="shared" si="29"/>
        <v>0</v>
      </c>
      <c r="AC57" s="126">
        <f t="shared" si="29"/>
        <v>0</v>
      </c>
      <c r="AD57" s="126">
        <f t="shared" si="29"/>
        <v>0</v>
      </c>
      <c r="AE57" s="126">
        <f t="shared" si="29"/>
        <v>0</v>
      </c>
      <c r="AF57" s="126">
        <f t="shared" si="29"/>
        <v>0</v>
      </c>
      <c r="AG57" s="127">
        <f t="shared" si="29"/>
        <v>0</v>
      </c>
    </row>
    <row r="58" spans="2:33" ht="15.75" hidden="1" customHeight="1" x14ac:dyDescent="0.25">
      <c r="B58" s="133" t="s">
        <v>307</v>
      </c>
      <c r="C58" s="144"/>
      <c r="D58" s="103" t="str">
        <f>IF($C$55&lt;D53,"",D57-D59)</f>
        <v/>
      </c>
      <c r="E58" s="103" t="str">
        <f t="shared" ref="E58:AG58" si="30">IF($C$55&lt;E53,"",E57-E59)</f>
        <v/>
      </c>
      <c r="F58" s="103" t="str">
        <f t="shared" si="30"/>
        <v/>
      </c>
      <c r="G58" s="103" t="str">
        <f t="shared" si="30"/>
        <v/>
      </c>
      <c r="H58" s="103" t="str">
        <f t="shared" si="30"/>
        <v/>
      </c>
      <c r="I58" s="103" t="str">
        <f t="shared" si="30"/>
        <v/>
      </c>
      <c r="J58" s="103" t="str">
        <f t="shared" si="30"/>
        <v/>
      </c>
      <c r="K58" s="103" t="str">
        <f t="shared" si="30"/>
        <v/>
      </c>
      <c r="L58" s="103" t="str">
        <f t="shared" si="30"/>
        <v/>
      </c>
      <c r="M58" s="103" t="str">
        <f t="shared" si="30"/>
        <v/>
      </c>
      <c r="N58" s="103" t="str">
        <f t="shared" si="30"/>
        <v/>
      </c>
      <c r="O58" s="103" t="str">
        <f t="shared" si="30"/>
        <v/>
      </c>
      <c r="P58" s="103" t="str">
        <f t="shared" si="30"/>
        <v/>
      </c>
      <c r="Q58" s="103" t="str">
        <f t="shared" si="30"/>
        <v/>
      </c>
      <c r="R58" s="103" t="str">
        <f t="shared" si="30"/>
        <v/>
      </c>
      <c r="S58" s="103" t="str">
        <f t="shared" si="30"/>
        <v/>
      </c>
      <c r="T58" s="103" t="str">
        <f t="shared" si="30"/>
        <v/>
      </c>
      <c r="U58" s="103" t="str">
        <f t="shared" si="30"/>
        <v/>
      </c>
      <c r="V58" s="103" t="str">
        <f t="shared" si="30"/>
        <v/>
      </c>
      <c r="W58" s="103" t="str">
        <f t="shared" si="30"/>
        <v/>
      </c>
      <c r="X58" s="103" t="str">
        <f t="shared" si="30"/>
        <v/>
      </c>
      <c r="Y58" s="103" t="str">
        <f t="shared" si="30"/>
        <v/>
      </c>
      <c r="Z58" s="103" t="str">
        <f t="shared" si="30"/>
        <v/>
      </c>
      <c r="AA58" s="103" t="str">
        <f t="shared" si="30"/>
        <v/>
      </c>
      <c r="AB58" s="103" t="str">
        <f t="shared" si="30"/>
        <v/>
      </c>
      <c r="AC58" s="103" t="str">
        <f t="shared" si="30"/>
        <v/>
      </c>
      <c r="AD58" s="103" t="str">
        <f t="shared" si="30"/>
        <v/>
      </c>
      <c r="AE58" s="103" t="str">
        <f t="shared" si="30"/>
        <v/>
      </c>
      <c r="AF58" s="103" t="str">
        <f t="shared" si="30"/>
        <v/>
      </c>
      <c r="AG58" s="104" t="str">
        <f t="shared" si="30"/>
        <v/>
      </c>
    </row>
    <row r="59" spans="2:33" ht="15.75" hidden="1" customHeight="1" x14ac:dyDescent="0.25">
      <c r="B59" s="133" t="s">
        <v>308</v>
      </c>
      <c r="C59" s="144"/>
      <c r="D59" s="128" t="str">
        <f>IF($C$55&lt;D53,"",PV($C$54/12,D55,-($D$56))-PV($C$54/12,E55,-($D$56)))</f>
        <v/>
      </c>
      <c r="E59" s="103" t="str">
        <f t="shared" ref="E59:AG59" si="31">IF($C$55&lt;E53,"",PV($C$54/12,E55,-($D$56))-PV($C$54/12,F55,-($D$56)))</f>
        <v/>
      </c>
      <c r="F59" s="103" t="str">
        <f t="shared" si="31"/>
        <v/>
      </c>
      <c r="G59" s="103" t="str">
        <f t="shared" si="31"/>
        <v/>
      </c>
      <c r="H59" s="103" t="str">
        <f t="shared" si="31"/>
        <v/>
      </c>
      <c r="I59" s="103" t="str">
        <f t="shared" si="31"/>
        <v/>
      </c>
      <c r="J59" s="103" t="str">
        <f t="shared" si="31"/>
        <v/>
      </c>
      <c r="K59" s="103" t="str">
        <f t="shared" si="31"/>
        <v/>
      </c>
      <c r="L59" s="103" t="str">
        <f t="shared" si="31"/>
        <v/>
      </c>
      <c r="M59" s="103" t="str">
        <f t="shared" si="31"/>
        <v/>
      </c>
      <c r="N59" s="103" t="str">
        <f t="shared" si="31"/>
        <v/>
      </c>
      <c r="O59" s="103" t="str">
        <f t="shared" si="31"/>
        <v/>
      </c>
      <c r="P59" s="103" t="str">
        <f t="shared" si="31"/>
        <v/>
      </c>
      <c r="Q59" s="103" t="str">
        <f t="shared" si="31"/>
        <v/>
      </c>
      <c r="R59" s="103" t="str">
        <f t="shared" si="31"/>
        <v/>
      </c>
      <c r="S59" s="103" t="str">
        <f t="shared" si="31"/>
        <v/>
      </c>
      <c r="T59" s="103" t="str">
        <f t="shared" si="31"/>
        <v/>
      </c>
      <c r="U59" s="103" t="str">
        <f t="shared" si="31"/>
        <v/>
      </c>
      <c r="V59" s="103" t="str">
        <f t="shared" si="31"/>
        <v/>
      </c>
      <c r="W59" s="103" t="str">
        <f t="shared" si="31"/>
        <v/>
      </c>
      <c r="X59" s="103" t="str">
        <f t="shared" si="31"/>
        <v/>
      </c>
      <c r="Y59" s="103" t="str">
        <f t="shared" si="31"/>
        <v/>
      </c>
      <c r="Z59" s="103" t="str">
        <f t="shared" si="31"/>
        <v/>
      </c>
      <c r="AA59" s="103" t="str">
        <f t="shared" si="31"/>
        <v/>
      </c>
      <c r="AB59" s="103" t="str">
        <f t="shared" si="31"/>
        <v/>
      </c>
      <c r="AC59" s="103" t="str">
        <f t="shared" si="31"/>
        <v/>
      </c>
      <c r="AD59" s="103" t="str">
        <f t="shared" si="31"/>
        <v/>
      </c>
      <c r="AE59" s="103" t="str">
        <f t="shared" si="31"/>
        <v/>
      </c>
      <c r="AF59" s="103" t="str">
        <f t="shared" si="31"/>
        <v/>
      </c>
      <c r="AG59" s="112" t="str">
        <f t="shared" si="31"/>
        <v/>
      </c>
    </row>
    <row r="60" spans="2:33" ht="15.75" hidden="1" customHeight="1" x14ac:dyDescent="0.25">
      <c r="B60" s="145" t="s">
        <v>309</v>
      </c>
      <c r="C60" s="146"/>
      <c r="D60" s="129" t="str">
        <f>IF($C$55&lt;D53,"",C56-D59)</f>
        <v/>
      </c>
      <c r="E60" s="129" t="str">
        <f t="shared" ref="E60:AG60" si="32">IF($C$55&lt;E53,"",D60-E59)</f>
        <v/>
      </c>
      <c r="F60" s="129" t="str">
        <f t="shared" si="32"/>
        <v/>
      </c>
      <c r="G60" s="129" t="str">
        <f t="shared" si="32"/>
        <v/>
      </c>
      <c r="H60" s="129" t="str">
        <f t="shared" si="32"/>
        <v/>
      </c>
      <c r="I60" s="129" t="str">
        <f t="shared" si="32"/>
        <v/>
      </c>
      <c r="J60" s="129" t="str">
        <f t="shared" si="32"/>
        <v/>
      </c>
      <c r="K60" s="129" t="str">
        <f t="shared" si="32"/>
        <v/>
      </c>
      <c r="L60" s="129" t="str">
        <f t="shared" si="32"/>
        <v/>
      </c>
      <c r="M60" s="129" t="str">
        <f t="shared" si="32"/>
        <v/>
      </c>
      <c r="N60" s="129" t="str">
        <f t="shared" si="32"/>
        <v/>
      </c>
      <c r="O60" s="129" t="str">
        <f t="shared" si="32"/>
        <v/>
      </c>
      <c r="P60" s="129" t="str">
        <f t="shared" si="32"/>
        <v/>
      </c>
      <c r="Q60" s="129" t="str">
        <f t="shared" si="32"/>
        <v/>
      </c>
      <c r="R60" s="129" t="str">
        <f t="shared" si="32"/>
        <v/>
      </c>
      <c r="S60" s="129" t="str">
        <f t="shared" si="32"/>
        <v/>
      </c>
      <c r="T60" s="129" t="str">
        <f t="shared" si="32"/>
        <v/>
      </c>
      <c r="U60" s="129" t="str">
        <f t="shared" si="32"/>
        <v/>
      </c>
      <c r="V60" s="129" t="str">
        <f t="shared" si="32"/>
        <v/>
      </c>
      <c r="W60" s="129" t="str">
        <f t="shared" si="32"/>
        <v/>
      </c>
      <c r="X60" s="147" t="str">
        <f t="shared" si="32"/>
        <v/>
      </c>
      <c r="Y60" s="129" t="str">
        <f t="shared" si="32"/>
        <v/>
      </c>
      <c r="Z60" s="129" t="str">
        <f t="shared" si="32"/>
        <v/>
      </c>
      <c r="AA60" s="129" t="str">
        <f t="shared" si="32"/>
        <v/>
      </c>
      <c r="AB60" s="129" t="str">
        <f t="shared" si="32"/>
        <v/>
      </c>
      <c r="AC60" s="129" t="str">
        <f t="shared" si="32"/>
        <v/>
      </c>
      <c r="AD60" s="129" t="str">
        <f t="shared" si="32"/>
        <v/>
      </c>
      <c r="AE60" s="129" t="str">
        <f t="shared" si="32"/>
        <v/>
      </c>
      <c r="AF60" s="129" t="str">
        <f t="shared" si="32"/>
        <v/>
      </c>
      <c r="AG60" s="130" t="str">
        <f t="shared" si="32"/>
        <v/>
      </c>
    </row>
    <row r="61" spans="2:33" ht="15.75" hidden="1" customHeight="1" x14ac:dyDescent="0.25">
      <c r="B61" s="45"/>
      <c r="C61" s="148"/>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row>
    <row r="62" spans="2:33" ht="15.75" hidden="1" customHeight="1" x14ac:dyDescent="0.25">
      <c r="B62" s="246" t="str">
        <f>Sources!B12</f>
        <v>RD 515 Loan</v>
      </c>
      <c r="C62" s="194"/>
      <c r="D62" s="247">
        <v>1</v>
      </c>
      <c r="E62" s="247">
        <v>2</v>
      </c>
      <c r="F62" s="247">
        <v>3</v>
      </c>
      <c r="G62" s="247">
        <v>4</v>
      </c>
      <c r="H62" s="247">
        <v>5</v>
      </c>
      <c r="I62" s="247">
        <v>6</v>
      </c>
      <c r="J62" s="247">
        <v>7</v>
      </c>
      <c r="K62" s="247">
        <v>8</v>
      </c>
      <c r="L62" s="247">
        <v>9</v>
      </c>
      <c r="M62" s="247">
        <v>10</v>
      </c>
      <c r="N62" s="247">
        <v>11</v>
      </c>
      <c r="O62" s="247">
        <v>12</v>
      </c>
      <c r="P62" s="247">
        <v>13</v>
      </c>
      <c r="Q62" s="247">
        <v>14</v>
      </c>
      <c r="R62" s="247">
        <v>15</v>
      </c>
      <c r="S62" s="247">
        <v>16</v>
      </c>
      <c r="T62" s="247">
        <v>17</v>
      </c>
      <c r="U62" s="247">
        <v>18</v>
      </c>
      <c r="V62" s="247">
        <v>19</v>
      </c>
      <c r="W62" s="247">
        <v>20</v>
      </c>
      <c r="X62" s="247">
        <v>21</v>
      </c>
      <c r="Y62" s="247">
        <v>22</v>
      </c>
      <c r="Z62" s="247">
        <v>23</v>
      </c>
      <c r="AA62" s="247">
        <v>24</v>
      </c>
      <c r="AB62" s="247">
        <v>25</v>
      </c>
      <c r="AC62" s="247">
        <v>26</v>
      </c>
      <c r="AD62" s="247">
        <v>27</v>
      </c>
      <c r="AE62" s="247">
        <v>28</v>
      </c>
      <c r="AF62" s="247">
        <v>29</v>
      </c>
      <c r="AG62" s="248">
        <v>30</v>
      </c>
    </row>
    <row r="63" spans="2:33" ht="15.75" hidden="1" customHeight="1" x14ac:dyDescent="0.25">
      <c r="B63" s="133" t="s">
        <v>304</v>
      </c>
      <c r="C63" s="116">
        <f>Sources!E12</f>
        <v>0</v>
      </c>
      <c r="AG63" s="203"/>
    </row>
    <row r="64" spans="2:33" ht="15.75" hidden="1" customHeight="1" x14ac:dyDescent="0.25">
      <c r="B64" s="133" t="str">
        <f t="shared" ref="B64:B69" si="33">B37</f>
        <v>Term</v>
      </c>
      <c r="C64" s="103">
        <f>Sources!F12</f>
        <v>0</v>
      </c>
      <c r="D64" s="119">
        <f>Sources!G12*12</f>
        <v>0</v>
      </c>
      <c r="E64" s="119">
        <f t="shared" ref="E64:AG64" si="34">D64-12</f>
        <v>-12</v>
      </c>
      <c r="F64" s="119">
        <f t="shared" si="34"/>
        <v>-24</v>
      </c>
      <c r="G64" s="119">
        <f t="shared" si="34"/>
        <v>-36</v>
      </c>
      <c r="H64" s="119">
        <f t="shared" si="34"/>
        <v>-48</v>
      </c>
      <c r="I64" s="119">
        <f t="shared" si="34"/>
        <v>-60</v>
      </c>
      <c r="J64" s="119">
        <f t="shared" si="34"/>
        <v>-72</v>
      </c>
      <c r="K64" s="119">
        <f t="shared" si="34"/>
        <v>-84</v>
      </c>
      <c r="L64" s="119">
        <f t="shared" si="34"/>
        <v>-96</v>
      </c>
      <c r="M64" s="119">
        <f t="shared" si="34"/>
        <v>-108</v>
      </c>
      <c r="N64" s="119">
        <f t="shared" si="34"/>
        <v>-120</v>
      </c>
      <c r="O64" s="119">
        <f t="shared" si="34"/>
        <v>-132</v>
      </c>
      <c r="P64" s="119">
        <f t="shared" si="34"/>
        <v>-144</v>
      </c>
      <c r="Q64" s="119">
        <f t="shared" si="34"/>
        <v>-156</v>
      </c>
      <c r="R64" s="119">
        <f t="shared" si="34"/>
        <v>-168</v>
      </c>
      <c r="S64" s="119">
        <f t="shared" si="34"/>
        <v>-180</v>
      </c>
      <c r="T64" s="119">
        <f t="shared" si="34"/>
        <v>-192</v>
      </c>
      <c r="U64" s="119">
        <f t="shared" si="34"/>
        <v>-204</v>
      </c>
      <c r="V64" s="119">
        <f t="shared" si="34"/>
        <v>-216</v>
      </c>
      <c r="W64" s="119">
        <f t="shared" si="34"/>
        <v>-228</v>
      </c>
      <c r="X64" s="119">
        <f t="shared" si="34"/>
        <v>-240</v>
      </c>
      <c r="Y64" s="119">
        <f t="shared" si="34"/>
        <v>-252</v>
      </c>
      <c r="Z64" s="119">
        <f t="shared" si="34"/>
        <v>-264</v>
      </c>
      <c r="AA64" s="119">
        <f t="shared" si="34"/>
        <v>-276</v>
      </c>
      <c r="AB64" s="119">
        <f t="shared" si="34"/>
        <v>-288</v>
      </c>
      <c r="AC64" s="119">
        <f t="shared" si="34"/>
        <v>-300</v>
      </c>
      <c r="AD64" s="119">
        <f t="shared" si="34"/>
        <v>-312</v>
      </c>
      <c r="AE64" s="119">
        <f t="shared" si="34"/>
        <v>-324</v>
      </c>
      <c r="AF64" s="119">
        <f t="shared" si="34"/>
        <v>-336</v>
      </c>
      <c r="AG64" s="120">
        <f t="shared" si="34"/>
        <v>-348</v>
      </c>
    </row>
    <row r="65" spans="2:33" ht="15.75" hidden="1" customHeight="1" x14ac:dyDescent="0.25">
      <c r="B65" s="133" t="str">
        <f t="shared" si="33"/>
        <v>Loan Principal</v>
      </c>
      <c r="C65" s="121">
        <f>Sources!C12</f>
        <v>0</v>
      </c>
      <c r="D65" s="119">
        <f>IF($C$65=0,0,PMT($C$63/12,$D$64,-$C$65))</f>
        <v>0</v>
      </c>
      <c r="E65" s="116"/>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15"/>
    </row>
    <row r="66" spans="2:33" ht="15.75" hidden="1" customHeight="1" x14ac:dyDescent="0.25">
      <c r="B66" s="133" t="str">
        <f t="shared" si="33"/>
        <v>P &amp; I</v>
      </c>
      <c r="C66" s="125">
        <f>Sources!H12</f>
        <v>0</v>
      </c>
      <c r="D66" s="126">
        <f>IF($C$64&lt;D62,0,$D$65*12)</f>
        <v>0</v>
      </c>
      <c r="E66" s="126">
        <f>IF($C$64&lt;E62,0,$D$65*12)</f>
        <v>0</v>
      </c>
      <c r="F66" s="126">
        <f>IF($C$64&lt;F62,0,$D$65*12)</f>
        <v>0</v>
      </c>
      <c r="G66" s="126">
        <f t="shared" ref="G66:AG66" si="35">IF($C$64&lt;G62,0,$D$65*12)</f>
        <v>0</v>
      </c>
      <c r="H66" s="126">
        <f t="shared" si="35"/>
        <v>0</v>
      </c>
      <c r="I66" s="126">
        <f t="shared" si="35"/>
        <v>0</v>
      </c>
      <c r="J66" s="126">
        <f t="shared" si="35"/>
        <v>0</v>
      </c>
      <c r="K66" s="126">
        <f t="shared" si="35"/>
        <v>0</v>
      </c>
      <c r="L66" s="126">
        <f t="shared" si="35"/>
        <v>0</v>
      </c>
      <c r="M66" s="126">
        <f t="shared" si="35"/>
        <v>0</v>
      </c>
      <c r="N66" s="126">
        <f t="shared" si="35"/>
        <v>0</v>
      </c>
      <c r="O66" s="126">
        <f t="shared" si="35"/>
        <v>0</v>
      </c>
      <c r="P66" s="126">
        <f t="shared" si="35"/>
        <v>0</v>
      </c>
      <c r="Q66" s="126">
        <f t="shared" si="35"/>
        <v>0</v>
      </c>
      <c r="R66" s="126">
        <f t="shared" si="35"/>
        <v>0</v>
      </c>
      <c r="S66" s="126">
        <f t="shared" si="35"/>
        <v>0</v>
      </c>
      <c r="T66" s="126">
        <f t="shared" si="35"/>
        <v>0</v>
      </c>
      <c r="U66" s="126">
        <f t="shared" si="35"/>
        <v>0</v>
      </c>
      <c r="V66" s="126">
        <f t="shared" si="35"/>
        <v>0</v>
      </c>
      <c r="W66" s="126">
        <f t="shared" si="35"/>
        <v>0</v>
      </c>
      <c r="X66" s="126">
        <f t="shared" si="35"/>
        <v>0</v>
      </c>
      <c r="Y66" s="126">
        <f t="shared" si="35"/>
        <v>0</v>
      </c>
      <c r="Z66" s="126">
        <f t="shared" si="35"/>
        <v>0</v>
      </c>
      <c r="AA66" s="126">
        <f t="shared" si="35"/>
        <v>0</v>
      </c>
      <c r="AB66" s="126">
        <f t="shared" si="35"/>
        <v>0</v>
      </c>
      <c r="AC66" s="126">
        <f t="shared" si="35"/>
        <v>0</v>
      </c>
      <c r="AD66" s="126">
        <f t="shared" si="35"/>
        <v>0</v>
      </c>
      <c r="AE66" s="126">
        <f t="shared" si="35"/>
        <v>0</v>
      </c>
      <c r="AF66" s="126">
        <f t="shared" si="35"/>
        <v>0</v>
      </c>
      <c r="AG66" s="127">
        <f t="shared" si="35"/>
        <v>0</v>
      </c>
    </row>
    <row r="67" spans="2:33" ht="15.75" hidden="1" customHeight="1" x14ac:dyDescent="0.25">
      <c r="B67" s="133" t="str">
        <f t="shared" si="33"/>
        <v xml:space="preserve">   Interest Payment</v>
      </c>
      <c r="D67" s="103" t="str">
        <f>IF($C$64&lt;D62,"",D66-D68)</f>
        <v/>
      </c>
      <c r="E67" s="103" t="str">
        <f>IF($C$64&lt;E62,"",E66-E68)</f>
        <v/>
      </c>
      <c r="F67" s="103" t="str">
        <f>IF($C$64&lt;F62,"",F66-F68)</f>
        <v/>
      </c>
      <c r="G67" s="103" t="str">
        <f t="shared" ref="G67:AG67" si="36">IF($C$64&lt;G62,"",G66-G68)</f>
        <v/>
      </c>
      <c r="H67" s="103" t="str">
        <f t="shared" si="36"/>
        <v/>
      </c>
      <c r="I67" s="103" t="str">
        <f t="shared" si="36"/>
        <v/>
      </c>
      <c r="J67" s="103" t="str">
        <f t="shared" si="36"/>
        <v/>
      </c>
      <c r="K67" s="103" t="str">
        <f t="shared" si="36"/>
        <v/>
      </c>
      <c r="L67" s="103" t="str">
        <f t="shared" si="36"/>
        <v/>
      </c>
      <c r="M67" s="103" t="str">
        <f t="shared" si="36"/>
        <v/>
      </c>
      <c r="N67" s="103" t="str">
        <f t="shared" si="36"/>
        <v/>
      </c>
      <c r="O67" s="103" t="str">
        <f t="shared" si="36"/>
        <v/>
      </c>
      <c r="P67" s="103" t="str">
        <f t="shared" si="36"/>
        <v/>
      </c>
      <c r="Q67" s="103" t="str">
        <f t="shared" si="36"/>
        <v/>
      </c>
      <c r="R67" s="103" t="str">
        <f t="shared" si="36"/>
        <v/>
      </c>
      <c r="S67" s="103" t="str">
        <f t="shared" si="36"/>
        <v/>
      </c>
      <c r="T67" s="103" t="str">
        <f t="shared" si="36"/>
        <v/>
      </c>
      <c r="U67" s="103" t="str">
        <f t="shared" si="36"/>
        <v/>
      </c>
      <c r="V67" s="103" t="str">
        <f t="shared" si="36"/>
        <v/>
      </c>
      <c r="W67" s="103" t="str">
        <f t="shared" si="36"/>
        <v/>
      </c>
      <c r="X67" s="103" t="str">
        <f t="shared" si="36"/>
        <v/>
      </c>
      <c r="Y67" s="103" t="str">
        <f t="shared" si="36"/>
        <v/>
      </c>
      <c r="Z67" s="103" t="str">
        <f t="shared" si="36"/>
        <v/>
      </c>
      <c r="AA67" s="103" t="str">
        <f t="shared" si="36"/>
        <v/>
      </c>
      <c r="AB67" s="103" t="str">
        <f t="shared" si="36"/>
        <v/>
      </c>
      <c r="AC67" s="103" t="str">
        <f t="shared" si="36"/>
        <v/>
      </c>
      <c r="AD67" s="103" t="str">
        <f t="shared" si="36"/>
        <v/>
      </c>
      <c r="AE67" s="103" t="str">
        <f t="shared" si="36"/>
        <v/>
      </c>
      <c r="AF67" s="103" t="str">
        <f t="shared" si="36"/>
        <v/>
      </c>
      <c r="AG67" s="104" t="str">
        <f t="shared" si="36"/>
        <v/>
      </c>
    </row>
    <row r="68" spans="2:33" ht="15.75" hidden="1" customHeight="1" x14ac:dyDescent="0.25">
      <c r="B68" s="133" t="str">
        <f t="shared" si="33"/>
        <v xml:space="preserve">   Principal Payment</v>
      </c>
      <c r="D68" s="128" t="str">
        <f>IF($C$64&lt;D62,"",PV($C$63/12,D64,-($D$65))-PV($C$63/12,E64,-($D$65)))</f>
        <v/>
      </c>
      <c r="E68" s="128" t="str">
        <f>IF($C$64&lt;E62,"",PV($C$63/12,E64,-($D$65))-PV($C$63/12,F64,-($D$65)))</f>
        <v/>
      </c>
      <c r="F68" s="128" t="str">
        <f>IF($C$64&lt;F62,"",PV($C$63/12,F64,-($D$65))-PV($C$63/12,G64,-($D$65)))</f>
        <v/>
      </c>
      <c r="G68" s="128" t="str">
        <f t="shared" ref="G68:AG68" si="37">IF($C$64&lt;G62,"",PV($C$63/12,G64,-($D$65))-PV($C$63/12,H64,-($D$65)))</f>
        <v/>
      </c>
      <c r="H68" s="128" t="str">
        <f t="shared" si="37"/>
        <v/>
      </c>
      <c r="I68" s="128" t="str">
        <f t="shared" si="37"/>
        <v/>
      </c>
      <c r="J68" s="128" t="str">
        <f t="shared" si="37"/>
        <v/>
      </c>
      <c r="K68" s="128" t="str">
        <f t="shared" si="37"/>
        <v/>
      </c>
      <c r="L68" s="128" t="str">
        <f t="shared" si="37"/>
        <v/>
      </c>
      <c r="M68" s="128" t="str">
        <f t="shared" si="37"/>
        <v/>
      </c>
      <c r="N68" s="128" t="str">
        <f t="shared" si="37"/>
        <v/>
      </c>
      <c r="O68" s="128" t="str">
        <f t="shared" si="37"/>
        <v/>
      </c>
      <c r="P68" s="128" t="str">
        <f t="shared" si="37"/>
        <v/>
      </c>
      <c r="Q68" s="128" t="str">
        <f t="shared" si="37"/>
        <v/>
      </c>
      <c r="R68" s="128" t="str">
        <f t="shared" si="37"/>
        <v/>
      </c>
      <c r="S68" s="128" t="str">
        <f t="shared" si="37"/>
        <v/>
      </c>
      <c r="T68" s="128" t="str">
        <f t="shared" si="37"/>
        <v/>
      </c>
      <c r="U68" s="128" t="str">
        <f t="shared" si="37"/>
        <v/>
      </c>
      <c r="V68" s="128" t="str">
        <f t="shared" si="37"/>
        <v/>
      </c>
      <c r="W68" s="128" t="str">
        <f t="shared" si="37"/>
        <v/>
      </c>
      <c r="X68" s="128" t="str">
        <f t="shared" si="37"/>
        <v/>
      </c>
      <c r="Y68" s="128" t="str">
        <f t="shared" si="37"/>
        <v/>
      </c>
      <c r="Z68" s="128" t="str">
        <f t="shared" si="37"/>
        <v/>
      </c>
      <c r="AA68" s="128" t="str">
        <f t="shared" si="37"/>
        <v/>
      </c>
      <c r="AB68" s="128" t="str">
        <f t="shared" si="37"/>
        <v/>
      </c>
      <c r="AC68" s="128" t="str">
        <f t="shared" si="37"/>
        <v/>
      </c>
      <c r="AD68" s="128" t="str">
        <f t="shared" si="37"/>
        <v/>
      </c>
      <c r="AE68" s="128" t="str">
        <f t="shared" si="37"/>
        <v/>
      </c>
      <c r="AF68" s="128" t="str">
        <f t="shared" si="37"/>
        <v/>
      </c>
      <c r="AG68" s="112" t="str">
        <f t="shared" si="37"/>
        <v/>
      </c>
    </row>
    <row r="69" spans="2:33" ht="15.75" hidden="1" customHeight="1" x14ac:dyDescent="0.25">
      <c r="B69" s="145" t="str">
        <f t="shared" si="33"/>
        <v>Remaining Principal</v>
      </c>
      <c r="C69" s="149"/>
      <c r="D69" s="129" t="str">
        <f>IF($C$64&lt;D62,"",C65-D68)</f>
        <v/>
      </c>
      <c r="E69" s="129" t="str">
        <f>IF($C$64&lt;E62,"",D69-E68)</f>
        <v/>
      </c>
      <c r="F69" s="129" t="str">
        <f>IF($C$64&lt;F62,"",E69-F68)</f>
        <v/>
      </c>
      <c r="G69" s="129" t="str">
        <f t="shared" ref="G69:AG69" si="38">IF($C$64&lt;G62,"",F69-G68)</f>
        <v/>
      </c>
      <c r="H69" s="129" t="str">
        <f t="shared" si="38"/>
        <v/>
      </c>
      <c r="I69" s="129" t="str">
        <f t="shared" si="38"/>
        <v/>
      </c>
      <c r="J69" s="129" t="str">
        <f t="shared" si="38"/>
        <v/>
      </c>
      <c r="K69" s="129" t="str">
        <f t="shared" si="38"/>
        <v/>
      </c>
      <c r="L69" s="129" t="str">
        <f t="shared" si="38"/>
        <v/>
      </c>
      <c r="M69" s="129" t="str">
        <f t="shared" si="38"/>
        <v/>
      </c>
      <c r="N69" s="129" t="str">
        <f t="shared" si="38"/>
        <v/>
      </c>
      <c r="O69" s="129" t="str">
        <f t="shared" si="38"/>
        <v/>
      </c>
      <c r="P69" s="129" t="str">
        <f t="shared" si="38"/>
        <v/>
      </c>
      <c r="Q69" s="129" t="str">
        <f t="shared" si="38"/>
        <v/>
      </c>
      <c r="R69" s="129" t="str">
        <f t="shared" si="38"/>
        <v/>
      </c>
      <c r="S69" s="129" t="str">
        <f t="shared" si="38"/>
        <v/>
      </c>
      <c r="T69" s="129" t="str">
        <f t="shared" si="38"/>
        <v/>
      </c>
      <c r="U69" s="129" t="str">
        <f t="shared" si="38"/>
        <v/>
      </c>
      <c r="V69" s="129" t="str">
        <f t="shared" si="38"/>
        <v/>
      </c>
      <c r="W69" s="129" t="str">
        <f t="shared" si="38"/>
        <v/>
      </c>
      <c r="X69" s="129" t="str">
        <f t="shared" si="38"/>
        <v/>
      </c>
      <c r="Y69" s="129" t="str">
        <f t="shared" si="38"/>
        <v/>
      </c>
      <c r="Z69" s="129" t="str">
        <f t="shared" si="38"/>
        <v/>
      </c>
      <c r="AA69" s="129" t="str">
        <f t="shared" si="38"/>
        <v/>
      </c>
      <c r="AB69" s="129" t="str">
        <f t="shared" si="38"/>
        <v/>
      </c>
      <c r="AC69" s="129" t="str">
        <f t="shared" si="38"/>
        <v/>
      </c>
      <c r="AD69" s="129" t="str">
        <f t="shared" si="38"/>
        <v/>
      </c>
      <c r="AE69" s="129" t="str">
        <f t="shared" si="38"/>
        <v/>
      </c>
      <c r="AF69" s="129" t="str">
        <f t="shared" si="38"/>
        <v/>
      </c>
      <c r="AG69" s="130" t="str">
        <f t="shared" si="38"/>
        <v/>
      </c>
    </row>
    <row r="70" spans="2:33" ht="15.75" hidden="1" customHeight="1" x14ac:dyDescent="0.25">
      <c r="B70" s="45"/>
      <c r="C70" s="5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row>
    <row r="71" spans="2:33" ht="15.75" hidden="1" customHeight="1" x14ac:dyDescent="0.25">
      <c r="B71" s="246" t="str">
        <f>Sources!B13</f>
        <v>AHP Loan</v>
      </c>
      <c r="C71" s="194"/>
      <c r="D71" s="247">
        <v>1</v>
      </c>
      <c r="E71" s="247">
        <v>2</v>
      </c>
      <c r="F71" s="247">
        <v>3</v>
      </c>
      <c r="G71" s="247">
        <v>4</v>
      </c>
      <c r="H71" s="247">
        <v>5</v>
      </c>
      <c r="I71" s="247">
        <v>6</v>
      </c>
      <c r="J71" s="247">
        <v>7</v>
      </c>
      <c r="K71" s="247">
        <v>8</v>
      </c>
      <c r="L71" s="247">
        <v>9</v>
      </c>
      <c r="M71" s="247">
        <v>10</v>
      </c>
      <c r="N71" s="247">
        <v>11</v>
      </c>
      <c r="O71" s="247">
        <v>12</v>
      </c>
      <c r="P71" s="247">
        <v>13</v>
      </c>
      <c r="Q71" s="247">
        <v>14</v>
      </c>
      <c r="R71" s="247">
        <v>15</v>
      </c>
      <c r="S71" s="247">
        <v>16</v>
      </c>
      <c r="T71" s="247">
        <v>17</v>
      </c>
      <c r="U71" s="247">
        <v>18</v>
      </c>
      <c r="V71" s="247">
        <v>19</v>
      </c>
      <c r="W71" s="247">
        <v>20</v>
      </c>
      <c r="X71" s="247">
        <v>21</v>
      </c>
      <c r="Y71" s="247">
        <v>22</v>
      </c>
      <c r="Z71" s="247">
        <v>23</v>
      </c>
      <c r="AA71" s="247">
        <v>24</v>
      </c>
      <c r="AB71" s="247">
        <v>25</v>
      </c>
      <c r="AC71" s="247">
        <v>26</v>
      </c>
      <c r="AD71" s="247">
        <v>27</v>
      </c>
      <c r="AE71" s="247">
        <v>28</v>
      </c>
      <c r="AF71" s="247">
        <v>29</v>
      </c>
      <c r="AG71" s="248">
        <v>30</v>
      </c>
    </row>
    <row r="72" spans="2:33" ht="15.75" hidden="1" customHeight="1" x14ac:dyDescent="0.25">
      <c r="B72" s="133" t="s">
        <v>304</v>
      </c>
      <c r="C72" s="116">
        <f>Sources!E13</f>
        <v>0</v>
      </c>
      <c r="AG72" s="203"/>
    </row>
    <row r="73" spans="2:33" ht="15.75" hidden="1" customHeight="1" x14ac:dyDescent="0.25">
      <c r="B73" s="133" t="str">
        <f t="shared" ref="B73:B78" si="39">B55</f>
        <v>Term</v>
      </c>
      <c r="C73" s="103">
        <f>Sources!F13</f>
        <v>0</v>
      </c>
      <c r="D73" s="119">
        <f>Sources!G13*12</f>
        <v>0</v>
      </c>
      <c r="E73" s="119">
        <f t="shared" ref="E73:AG73" si="40">D73-12</f>
        <v>-12</v>
      </c>
      <c r="F73" s="119">
        <f t="shared" si="40"/>
        <v>-24</v>
      </c>
      <c r="G73" s="119">
        <f t="shared" si="40"/>
        <v>-36</v>
      </c>
      <c r="H73" s="119">
        <f t="shared" si="40"/>
        <v>-48</v>
      </c>
      <c r="I73" s="119">
        <f t="shared" si="40"/>
        <v>-60</v>
      </c>
      <c r="J73" s="119">
        <f t="shared" si="40"/>
        <v>-72</v>
      </c>
      <c r="K73" s="119">
        <f t="shared" si="40"/>
        <v>-84</v>
      </c>
      <c r="L73" s="119">
        <f t="shared" si="40"/>
        <v>-96</v>
      </c>
      <c r="M73" s="119">
        <f t="shared" si="40"/>
        <v>-108</v>
      </c>
      <c r="N73" s="119">
        <f t="shared" si="40"/>
        <v>-120</v>
      </c>
      <c r="O73" s="119">
        <f t="shared" si="40"/>
        <v>-132</v>
      </c>
      <c r="P73" s="119">
        <f t="shared" si="40"/>
        <v>-144</v>
      </c>
      <c r="Q73" s="119">
        <f t="shared" si="40"/>
        <v>-156</v>
      </c>
      <c r="R73" s="119">
        <f t="shared" si="40"/>
        <v>-168</v>
      </c>
      <c r="S73" s="119">
        <f t="shared" si="40"/>
        <v>-180</v>
      </c>
      <c r="T73" s="119">
        <f t="shared" si="40"/>
        <v>-192</v>
      </c>
      <c r="U73" s="119">
        <f t="shared" si="40"/>
        <v>-204</v>
      </c>
      <c r="V73" s="119">
        <f t="shared" si="40"/>
        <v>-216</v>
      </c>
      <c r="W73" s="119">
        <f t="shared" si="40"/>
        <v>-228</v>
      </c>
      <c r="X73" s="119">
        <f t="shared" si="40"/>
        <v>-240</v>
      </c>
      <c r="Y73" s="119">
        <f t="shared" si="40"/>
        <v>-252</v>
      </c>
      <c r="Z73" s="119">
        <f t="shared" si="40"/>
        <v>-264</v>
      </c>
      <c r="AA73" s="119">
        <f t="shared" si="40"/>
        <v>-276</v>
      </c>
      <c r="AB73" s="119">
        <f t="shared" si="40"/>
        <v>-288</v>
      </c>
      <c r="AC73" s="119">
        <f t="shared" si="40"/>
        <v>-300</v>
      </c>
      <c r="AD73" s="119">
        <f t="shared" si="40"/>
        <v>-312</v>
      </c>
      <c r="AE73" s="119">
        <f t="shared" si="40"/>
        <v>-324</v>
      </c>
      <c r="AF73" s="119">
        <f t="shared" si="40"/>
        <v>-336</v>
      </c>
      <c r="AG73" s="120">
        <f t="shared" si="40"/>
        <v>-348</v>
      </c>
    </row>
    <row r="74" spans="2:33" ht="15.75" hidden="1" customHeight="1" x14ac:dyDescent="0.25">
      <c r="B74" s="133" t="str">
        <f t="shared" si="39"/>
        <v>Loan Principal</v>
      </c>
      <c r="C74" s="121">
        <f>Sources!C13</f>
        <v>0</v>
      </c>
      <c r="D74" s="119">
        <f>IF($C$74=0,0,PMT($C$72/12,$D$73,-$C$74))</f>
        <v>0</v>
      </c>
      <c r="E74" s="116"/>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15"/>
    </row>
    <row r="75" spans="2:33" ht="15.75" hidden="1" customHeight="1" x14ac:dyDescent="0.25">
      <c r="B75" s="133" t="str">
        <f t="shared" si="39"/>
        <v>P &amp; I</v>
      </c>
      <c r="C75" s="125">
        <f>Sources!H13</f>
        <v>0</v>
      </c>
      <c r="D75" s="126">
        <f t="shared" ref="D75:AG75" si="41">IF($C$73&lt;D71,0,$D$74*12)</f>
        <v>0</v>
      </c>
      <c r="E75" s="126">
        <f t="shared" si="41"/>
        <v>0</v>
      </c>
      <c r="F75" s="126">
        <f t="shared" si="41"/>
        <v>0</v>
      </c>
      <c r="G75" s="126">
        <f t="shared" si="41"/>
        <v>0</v>
      </c>
      <c r="H75" s="126">
        <f t="shared" si="41"/>
        <v>0</v>
      </c>
      <c r="I75" s="126">
        <f t="shared" si="41"/>
        <v>0</v>
      </c>
      <c r="J75" s="126">
        <f t="shared" si="41"/>
        <v>0</v>
      </c>
      <c r="K75" s="126">
        <f t="shared" si="41"/>
        <v>0</v>
      </c>
      <c r="L75" s="126">
        <f t="shared" si="41"/>
        <v>0</v>
      </c>
      <c r="M75" s="126">
        <f t="shared" si="41"/>
        <v>0</v>
      </c>
      <c r="N75" s="126">
        <f t="shared" si="41"/>
        <v>0</v>
      </c>
      <c r="O75" s="126">
        <f t="shared" si="41"/>
        <v>0</v>
      </c>
      <c r="P75" s="126">
        <f t="shared" si="41"/>
        <v>0</v>
      </c>
      <c r="Q75" s="126">
        <f t="shared" si="41"/>
        <v>0</v>
      </c>
      <c r="R75" s="126">
        <f t="shared" si="41"/>
        <v>0</v>
      </c>
      <c r="S75" s="126">
        <f t="shared" si="41"/>
        <v>0</v>
      </c>
      <c r="T75" s="126">
        <f t="shared" si="41"/>
        <v>0</v>
      </c>
      <c r="U75" s="126">
        <f t="shared" si="41"/>
        <v>0</v>
      </c>
      <c r="V75" s="126">
        <f t="shared" si="41"/>
        <v>0</v>
      </c>
      <c r="W75" s="126">
        <f t="shared" si="41"/>
        <v>0</v>
      </c>
      <c r="X75" s="126">
        <f t="shared" si="41"/>
        <v>0</v>
      </c>
      <c r="Y75" s="126">
        <f t="shared" si="41"/>
        <v>0</v>
      </c>
      <c r="Z75" s="126">
        <f t="shared" si="41"/>
        <v>0</v>
      </c>
      <c r="AA75" s="126">
        <f t="shared" si="41"/>
        <v>0</v>
      </c>
      <c r="AB75" s="126">
        <f t="shared" si="41"/>
        <v>0</v>
      </c>
      <c r="AC75" s="126">
        <f t="shared" si="41"/>
        <v>0</v>
      </c>
      <c r="AD75" s="126">
        <f t="shared" si="41"/>
        <v>0</v>
      </c>
      <c r="AE75" s="126">
        <f t="shared" si="41"/>
        <v>0</v>
      </c>
      <c r="AF75" s="126">
        <f t="shared" si="41"/>
        <v>0</v>
      </c>
      <c r="AG75" s="127">
        <f t="shared" si="41"/>
        <v>0</v>
      </c>
    </row>
    <row r="76" spans="2:33" ht="15.75" hidden="1" customHeight="1" x14ac:dyDescent="0.25">
      <c r="B76" s="133" t="str">
        <f t="shared" si="39"/>
        <v xml:space="preserve">   Interest Payment</v>
      </c>
      <c r="D76" s="103" t="str">
        <f t="shared" ref="D76:AG76" si="42">IF($C$73&lt;D71,"",D75-D77)</f>
        <v/>
      </c>
      <c r="E76" s="103" t="str">
        <f t="shared" si="42"/>
        <v/>
      </c>
      <c r="F76" s="103" t="str">
        <f t="shared" si="42"/>
        <v/>
      </c>
      <c r="G76" s="103" t="str">
        <f t="shared" si="42"/>
        <v/>
      </c>
      <c r="H76" s="103" t="str">
        <f t="shared" si="42"/>
        <v/>
      </c>
      <c r="I76" s="103" t="str">
        <f t="shared" si="42"/>
        <v/>
      </c>
      <c r="J76" s="103" t="str">
        <f t="shared" si="42"/>
        <v/>
      </c>
      <c r="K76" s="103" t="str">
        <f t="shared" si="42"/>
        <v/>
      </c>
      <c r="L76" s="103" t="str">
        <f t="shared" si="42"/>
        <v/>
      </c>
      <c r="M76" s="103" t="str">
        <f t="shared" si="42"/>
        <v/>
      </c>
      <c r="N76" s="103" t="str">
        <f t="shared" si="42"/>
        <v/>
      </c>
      <c r="O76" s="103" t="str">
        <f t="shared" si="42"/>
        <v/>
      </c>
      <c r="P76" s="103" t="str">
        <f t="shared" si="42"/>
        <v/>
      </c>
      <c r="Q76" s="103" t="str">
        <f t="shared" si="42"/>
        <v/>
      </c>
      <c r="R76" s="103" t="str">
        <f t="shared" si="42"/>
        <v/>
      </c>
      <c r="S76" s="103" t="str">
        <f t="shared" si="42"/>
        <v/>
      </c>
      <c r="T76" s="103" t="str">
        <f t="shared" si="42"/>
        <v/>
      </c>
      <c r="U76" s="103" t="str">
        <f t="shared" si="42"/>
        <v/>
      </c>
      <c r="V76" s="103" t="str">
        <f t="shared" si="42"/>
        <v/>
      </c>
      <c r="W76" s="103" t="str">
        <f t="shared" si="42"/>
        <v/>
      </c>
      <c r="X76" s="103" t="str">
        <f t="shared" si="42"/>
        <v/>
      </c>
      <c r="Y76" s="103" t="str">
        <f t="shared" si="42"/>
        <v/>
      </c>
      <c r="Z76" s="103" t="str">
        <f t="shared" si="42"/>
        <v/>
      </c>
      <c r="AA76" s="103" t="str">
        <f t="shared" si="42"/>
        <v/>
      </c>
      <c r="AB76" s="103" t="str">
        <f t="shared" si="42"/>
        <v/>
      </c>
      <c r="AC76" s="103" t="str">
        <f t="shared" si="42"/>
        <v/>
      </c>
      <c r="AD76" s="103" t="str">
        <f t="shared" si="42"/>
        <v/>
      </c>
      <c r="AE76" s="103" t="str">
        <f t="shared" si="42"/>
        <v/>
      </c>
      <c r="AF76" s="103" t="str">
        <f t="shared" si="42"/>
        <v/>
      </c>
      <c r="AG76" s="104" t="str">
        <f t="shared" si="42"/>
        <v/>
      </c>
    </row>
    <row r="77" spans="2:33" ht="15.75" hidden="1" customHeight="1" x14ac:dyDescent="0.25">
      <c r="B77" s="133" t="str">
        <f t="shared" si="39"/>
        <v xml:space="preserve">   Principal Payment</v>
      </c>
      <c r="D77" s="128" t="str">
        <f t="shared" ref="D77:AG77" si="43">IF($C$73&lt;D71,"",PV($C$72/12,D73,-($D$74))-PV($C$72/12,E73,-($D$74)))</f>
        <v/>
      </c>
      <c r="E77" s="128" t="str">
        <f t="shared" si="43"/>
        <v/>
      </c>
      <c r="F77" s="128" t="str">
        <f t="shared" si="43"/>
        <v/>
      </c>
      <c r="G77" s="128" t="str">
        <f t="shared" si="43"/>
        <v/>
      </c>
      <c r="H77" s="128" t="str">
        <f t="shared" si="43"/>
        <v/>
      </c>
      <c r="I77" s="128" t="str">
        <f t="shared" si="43"/>
        <v/>
      </c>
      <c r="J77" s="128" t="str">
        <f t="shared" si="43"/>
        <v/>
      </c>
      <c r="K77" s="128" t="str">
        <f t="shared" si="43"/>
        <v/>
      </c>
      <c r="L77" s="128" t="str">
        <f t="shared" si="43"/>
        <v/>
      </c>
      <c r="M77" s="128" t="str">
        <f t="shared" si="43"/>
        <v/>
      </c>
      <c r="N77" s="128" t="str">
        <f t="shared" si="43"/>
        <v/>
      </c>
      <c r="O77" s="128" t="str">
        <f t="shared" si="43"/>
        <v/>
      </c>
      <c r="P77" s="128" t="str">
        <f t="shared" si="43"/>
        <v/>
      </c>
      <c r="Q77" s="128" t="str">
        <f t="shared" si="43"/>
        <v/>
      </c>
      <c r="R77" s="128" t="str">
        <f t="shared" si="43"/>
        <v/>
      </c>
      <c r="S77" s="128" t="str">
        <f t="shared" si="43"/>
        <v/>
      </c>
      <c r="T77" s="128" t="str">
        <f t="shared" si="43"/>
        <v/>
      </c>
      <c r="U77" s="128" t="str">
        <f t="shared" si="43"/>
        <v/>
      </c>
      <c r="V77" s="128" t="str">
        <f t="shared" si="43"/>
        <v/>
      </c>
      <c r="W77" s="128" t="str">
        <f t="shared" si="43"/>
        <v/>
      </c>
      <c r="X77" s="128" t="str">
        <f t="shared" si="43"/>
        <v/>
      </c>
      <c r="Y77" s="128" t="str">
        <f t="shared" si="43"/>
        <v/>
      </c>
      <c r="Z77" s="128" t="str">
        <f t="shared" si="43"/>
        <v/>
      </c>
      <c r="AA77" s="128" t="str">
        <f t="shared" si="43"/>
        <v/>
      </c>
      <c r="AB77" s="128" t="str">
        <f t="shared" si="43"/>
        <v/>
      </c>
      <c r="AC77" s="128" t="str">
        <f t="shared" si="43"/>
        <v/>
      </c>
      <c r="AD77" s="128" t="str">
        <f t="shared" si="43"/>
        <v/>
      </c>
      <c r="AE77" s="128" t="str">
        <f t="shared" si="43"/>
        <v/>
      </c>
      <c r="AF77" s="128" t="str">
        <f t="shared" si="43"/>
        <v/>
      </c>
      <c r="AG77" s="112" t="str">
        <f t="shared" si="43"/>
        <v/>
      </c>
    </row>
    <row r="78" spans="2:33" ht="15.75" hidden="1" customHeight="1" x14ac:dyDescent="0.25">
      <c r="B78" s="145" t="str">
        <f t="shared" si="39"/>
        <v>Remaining Principal</v>
      </c>
      <c r="C78" s="149"/>
      <c r="D78" s="129" t="str">
        <f>IF($C$73&lt;D71,"",C74-D77)</f>
        <v/>
      </c>
      <c r="E78" s="129" t="str">
        <f t="shared" ref="E78:AG78" si="44">IF($C$73&lt;E71,"",D78-E77)</f>
        <v/>
      </c>
      <c r="F78" s="129" t="str">
        <f t="shared" si="44"/>
        <v/>
      </c>
      <c r="G78" s="129" t="str">
        <f t="shared" si="44"/>
        <v/>
      </c>
      <c r="H78" s="129" t="str">
        <f t="shared" si="44"/>
        <v/>
      </c>
      <c r="I78" s="129" t="str">
        <f t="shared" si="44"/>
        <v/>
      </c>
      <c r="J78" s="129" t="str">
        <f t="shared" si="44"/>
        <v/>
      </c>
      <c r="K78" s="129" t="str">
        <f t="shared" si="44"/>
        <v/>
      </c>
      <c r="L78" s="129" t="str">
        <f t="shared" si="44"/>
        <v/>
      </c>
      <c r="M78" s="129" t="str">
        <f t="shared" si="44"/>
        <v/>
      </c>
      <c r="N78" s="129" t="str">
        <f t="shared" si="44"/>
        <v/>
      </c>
      <c r="O78" s="129" t="str">
        <f t="shared" si="44"/>
        <v/>
      </c>
      <c r="P78" s="129" t="str">
        <f t="shared" si="44"/>
        <v/>
      </c>
      <c r="Q78" s="129" t="str">
        <f t="shared" si="44"/>
        <v/>
      </c>
      <c r="R78" s="129" t="str">
        <f t="shared" si="44"/>
        <v/>
      </c>
      <c r="S78" s="129" t="str">
        <f t="shared" si="44"/>
        <v/>
      </c>
      <c r="T78" s="129" t="str">
        <f t="shared" si="44"/>
        <v/>
      </c>
      <c r="U78" s="129" t="str">
        <f t="shared" si="44"/>
        <v/>
      </c>
      <c r="V78" s="129" t="str">
        <f t="shared" si="44"/>
        <v/>
      </c>
      <c r="W78" s="129" t="str">
        <f t="shared" si="44"/>
        <v/>
      </c>
      <c r="X78" s="129" t="str">
        <f t="shared" si="44"/>
        <v/>
      </c>
      <c r="Y78" s="129" t="str">
        <f t="shared" si="44"/>
        <v/>
      </c>
      <c r="Z78" s="129" t="str">
        <f t="shared" si="44"/>
        <v/>
      </c>
      <c r="AA78" s="129" t="str">
        <f t="shared" si="44"/>
        <v/>
      </c>
      <c r="AB78" s="129" t="str">
        <f t="shared" si="44"/>
        <v/>
      </c>
      <c r="AC78" s="129" t="str">
        <f t="shared" si="44"/>
        <v/>
      </c>
      <c r="AD78" s="129" t="str">
        <f t="shared" si="44"/>
        <v/>
      </c>
      <c r="AE78" s="129" t="str">
        <f t="shared" si="44"/>
        <v/>
      </c>
      <c r="AF78" s="129" t="str">
        <f t="shared" si="44"/>
        <v/>
      </c>
      <c r="AG78" s="130" t="str">
        <f t="shared" si="44"/>
        <v/>
      </c>
    </row>
    <row r="79" spans="2:33" ht="15.75" hidden="1" customHeight="1" x14ac:dyDescent="0.2"/>
    <row r="80" spans="2:33" ht="15.75" hidden="1" customHeight="1" x14ac:dyDescent="0.25">
      <c r="B80" s="246" t="str">
        <f>Sources!B14</f>
        <v>Other Loan</v>
      </c>
      <c r="C80" s="194"/>
      <c r="D80" s="247">
        <v>1</v>
      </c>
      <c r="E80" s="247">
        <v>2</v>
      </c>
      <c r="F80" s="247">
        <v>3</v>
      </c>
      <c r="G80" s="247">
        <v>4</v>
      </c>
      <c r="H80" s="247">
        <v>5</v>
      </c>
      <c r="I80" s="247">
        <v>6</v>
      </c>
      <c r="J80" s="247">
        <v>7</v>
      </c>
      <c r="K80" s="247">
        <v>8</v>
      </c>
      <c r="L80" s="247">
        <v>9</v>
      </c>
      <c r="M80" s="247">
        <v>10</v>
      </c>
      <c r="N80" s="247">
        <v>11</v>
      </c>
      <c r="O80" s="247">
        <v>12</v>
      </c>
      <c r="P80" s="247">
        <v>13</v>
      </c>
      <c r="Q80" s="247">
        <v>14</v>
      </c>
      <c r="R80" s="247">
        <v>15</v>
      </c>
      <c r="S80" s="247">
        <v>16</v>
      </c>
      <c r="T80" s="247">
        <v>17</v>
      </c>
      <c r="U80" s="247">
        <v>18</v>
      </c>
      <c r="V80" s="247">
        <v>19</v>
      </c>
      <c r="W80" s="247">
        <v>20</v>
      </c>
      <c r="X80" s="247">
        <v>21</v>
      </c>
      <c r="Y80" s="247">
        <v>22</v>
      </c>
      <c r="Z80" s="247">
        <v>23</v>
      </c>
      <c r="AA80" s="247">
        <v>24</v>
      </c>
      <c r="AB80" s="247">
        <v>25</v>
      </c>
      <c r="AC80" s="247">
        <v>26</v>
      </c>
      <c r="AD80" s="247">
        <v>27</v>
      </c>
      <c r="AE80" s="247">
        <v>28</v>
      </c>
      <c r="AF80" s="247">
        <v>29</v>
      </c>
      <c r="AG80" s="248">
        <v>30</v>
      </c>
    </row>
    <row r="81" spans="2:33" ht="15.75" hidden="1" customHeight="1" x14ac:dyDescent="0.25">
      <c r="B81" s="133" t="str">
        <f t="shared" ref="B81:B87" si="45">B72</f>
        <v>Interest Rate</v>
      </c>
      <c r="C81" s="116">
        <f>Sources!E14</f>
        <v>0</v>
      </c>
      <c r="AG81" s="203"/>
    </row>
    <row r="82" spans="2:33" ht="15.75" hidden="1" customHeight="1" x14ac:dyDescent="0.25">
      <c r="B82" s="133" t="str">
        <f t="shared" si="45"/>
        <v>Term</v>
      </c>
      <c r="C82" s="103">
        <f>Sources!F14</f>
        <v>0</v>
      </c>
      <c r="D82" s="119">
        <f>Sources!G14*12</f>
        <v>0</v>
      </c>
      <c r="E82" s="119">
        <f t="shared" ref="E82:AG82" si="46">D82-12</f>
        <v>-12</v>
      </c>
      <c r="F82" s="119">
        <f t="shared" si="46"/>
        <v>-24</v>
      </c>
      <c r="G82" s="119">
        <f t="shared" si="46"/>
        <v>-36</v>
      </c>
      <c r="H82" s="119">
        <f t="shared" si="46"/>
        <v>-48</v>
      </c>
      <c r="I82" s="119">
        <f t="shared" si="46"/>
        <v>-60</v>
      </c>
      <c r="J82" s="119">
        <f t="shared" si="46"/>
        <v>-72</v>
      </c>
      <c r="K82" s="119">
        <f t="shared" si="46"/>
        <v>-84</v>
      </c>
      <c r="L82" s="119">
        <f t="shared" si="46"/>
        <v>-96</v>
      </c>
      <c r="M82" s="119">
        <f t="shared" si="46"/>
        <v>-108</v>
      </c>
      <c r="N82" s="119">
        <f t="shared" si="46"/>
        <v>-120</v>
      </c>
      <c r="O82" s="119">
        <f t="shared" si="46"/>
        <v>-132</v>
      </c>
      <c r="P82" s="119">
        <f t="shared" si="46"/>
        <v>-144</v>
      </c>
      <c r="Q82" s="119">
        <f t="shared" si="46"/>
        <v>-156</v>
      </c>
      <c r="R82" s="119">
        <f t="shared" si="46"/>
        <v>-168</v>
      </c>
      <c r="S82" s="119">
        <f t="shared" si="46"/>
        <v>-180</v>
      </c>
      <c r="T82" s="119">
        <f t="shared" si="46"/>
        <v>-192</v>
      </c>
      <c r="U82" s="119">
        <f t="shared" si="46"/>
        <v>-204</v>
      </c>
      <c r="V82" s="119">
        <f t="shared" si="46"/>
        <v>-216</v>
      </c>
      <c r="W82" s="119">
        <f t="shared" si="46"/>
        <v>-228</v>
      </c>
      <c r="X82" s="119">
        <f t="shared" si="46"/>
        <v>-240</v>
      </c>
      <c r="Y82" s="119">
        <f t="shared" si="46"/>
        <v>-252</v>
      </c>
      <c r="Z82" s="119">
        <f t="shared" si="46"/>
        <v>-264</v>
      </c>
      <c r="AA82" s="119">
        <f t="shared" si="46"/>
        <v>-276</v>
      </c>
      <c r="AB82" s="119">
        <f t="shared" si="46"/>
        <v>-288</v>
      </c>
      <c r="AC82" s="119">
        <f t="shared" si="46"/>
        <v>-300</v>
      </c>
      <c r="AD82" s="119">
        <f t="shared" si="46"/>
        <v>-312</v>
      </c>
      <c r="AE82" s="119">
        <f t="shared" si="46"/>
        <v>-324</v>
      </c>
      <c r="AF82" s="119">
        <f t="shared" si="46"/>
        <v>-336</v>
      </c>
      <c r="AG82" s="120">
        <f t="shared" si="46"/>
        <v>-348</v>
      </c>
    </row>
    <row r="83" spans="2:33" ht="15.75" hidden="1" customHeight="1" x14ac:dyDescent="0.25">
      <c r="B83" s="133" t="str">
        <f t="shared" si="45"/>
        <v>Loan Principal</v>
      </c>
      <c r="C83" s="121">
        <f>Sources!C14</f>
        <v>0</v>
      </c>
      <c r="D83" s="119">
        <f>IF($C$83=0,0,PMT($C$81/12,$D$82,-$C$83))</f>
        <v>0</v>
      </c>
      <c r="E83" s="116"/>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15"/>
    </row>
    <row r="84" spans="2:33" ht="15.75" hidden="1" customHeight="1" x14ac:dyDescent="0.25">
      <c r="B84" s="133" t="str">
        <f t="shared" si="45"/>
        <v>P &amp; I</v>
      </c>
      <c r="C84" s="125">
        <f>Sources!H14</f>
        <v>0</v>
      </c>
      <c r="D84" s="126">
        <f t="shared" ref="D84:AG84" si="47">IF($C$82&lt;D80,0,$D$83*12)</f>
        <v>0</v>
      </c>
      <c r="E84" s="126">
        <f t="shared" si="47"/>
        <v>0</v>
      </c>
      <c r="F84" s="126">
        <f t="shared" si="47"/>
        <v>0</v>
      </c>
      <c r="G84" s="126">
        <f t="shared" si="47"/>
        <v>0</v>
      </c>
      <c r="H84" s="126">
        <f t="shared" si="47"/>
        <v>0</v>
      </c>
      <c r="I84" s="126">
        <f t="shared" si="47"/>
        <v>0</v>
      </c>
      <c r="J84" s="126">
        <f t="shared" si="47"/>
        <v>0</v>
      </c>
      <c r="K84" s="126">
        <f t="shared" si="47"/>
        <v>0</v>
      </c>
      <c r="L84" s="126">
        <f t="shared" si="47"/>
        <v>0</v>
      </c>
      <c r="M84" s="126">
        <f t="shared" si="47"/>
        <v>0</v>
      </c>
      <c r="N84" s="126">
        <f t="shared" si="47"/>
        <v>0</v>
      </c>
      <c r="O84" s="126">
        <f t="shared" si="47"/>
        <v>0</v>
      </c>
      <c r="P84" s="126">
        <f t="shared" si="47"/>
        <v>0</v>
      </c>
      <c r="Q84" s="126">
        <f t="shared" si="47"/>
        <v>0</v>
      </c>
      <c r="R84" s="126">
        <f t="shared" si="47"/>
        <v>0</v>
      </c>
      <c r="S84" s="126">
        <f t="shared" si="47"/>
        <v>0</v>
      </c>
      <c r="T84" s="126">
        <f t="shared" si="47"/>
        <v>0</v>
      </c>
      <c r="U84" s="126">
        <f t="shared" si="47"/>
        <v>0</v>
      </c>
      <c r="V84" s="126">
        <f t="shared" si="47"/>
        <v>0</v>
      </c>
      <c r="W84" s="126">
        <f t="shared" si="47"/>
        <v>0</v>
      </c>
      <c r="X84" s="126">
        <f t="shared" si="47"/>
        <v>0</v>
      </c>
      <c r="Y84" s="126">
        <f t="shared" si="47"/>
        <v>0</v>
      </c>
      <c r="Z84" s="126">
        <f t="shared" si="47"/>
        <v>0</v>
      </c>
      <c r="AA84" s="126">
        <f t="shared" si="47"/>
        <v>0</v>
      </c>
      <c r="AB84" s="126">
        <f t="shared" si="47"/>
        <v>0</v>
      </c>
      <c r="AC84" s="126">
        <f t="shared" si="47"/>
        <v>0</v>
      </c>
      <c r="AD84" s="126">
        <f t="shared" si="47"/>
        <v>0</v>
      </c>
      <c r="AE84" s="126">
        <f t="shared" si="47"/>
        <v>0</v>
      </c>
      <c r="AF84" s="126">
        <f t="shared" si="47"/>
        <v>0</v>
      </c>
      <c r="AG84" s="127">
        <f t="shared" si="47"/>
        <v>0</v>
      </c>
    </row>
    <row r="85" spans="2:33" ht="15.75" hidden="1" customHeight="1" x14ac:dyDescent="0.25">
      <c r="B85" s="133" t="str">
        <f t="shared" si="45"/>
        <v xml:space="preserve">   Interest Payment</v>
      </c>
      <c r="D85" s="103" t="str">
        <f t="shared" ref="D85:AG85" si="48">IF($C$82&lt;D80,"",D84-D86)</f>
        <v/>
      </c>
      <c r="E85" s="103" t="str">
        <f t="shared" si="48"/>
        <v/>
      </c>
      <c r="F85" s="103" t="str">
        <f t="shared" si="48"/>
        <v/>
      </c>
      <c r="G85" s="103" t="str">
        <f t="shared" si="48"/>
        <v/>
      </c>
      <c r="H85" s="103" t="str">
        <f t="shared" si="48"/>
        <v/>
      </c>
      <c r="I85" s="103" t="str">
        <f t="shared" si="48"/>
        <v/>
      </c>
      <c r="J85" s="103" t="str">
        <f t="shared" si="48"/>
        <v/>
      </c>
      <c r="K85" s="103" t="str">
        <f t="shared" si="48"/>
        <v/>
      </c>
      <c r="L85" s="103" t="str">
        <f t="shared" si="48"/>
        <v/>
      </c>
      <c r="M85" s="103" t="str">
        <f t="shared" si="48"/>
        <v/>
      </c>
      <c r="N85" s="103" t="str">
        <f t="shared" si="48"/>
        <v/>
      </c>
      <c r="O85" s="103" t="str">
        <f t="shared" si="48"/>
        <v/>
      </c>
      <c r="P85" s="103" t="str">
        <f t="shared" si="48"/>
        <v/>
      </c>
      <c r="Q85" s="103" t="str">
        <f t="shared" si="48"/>
        <v/>
      </c>
      <c r="R85" s="103" t="str">
        <f t="shared" si="48"/>
        <v/>
      </c>
      <c r="S85" s="103" t="str">
        <f t="shared" si="48"/>
        <v/>
      </c>
      <c r="T85" s="103" t="str">
        <f t="shared" si="48"/>
        <v/>
      </c>
      <c r="U85" s="103" t="str">
        <f t="shared" si="48"/>
        <v/>
      </c>
      <c r="V85" s="103" t="str">
        <f t="shared" si="48"/>
        <v/>
      </c>
      <c r="W85" s="103" t="str">
        <f t="shared" si="48"/>
        <v/>
      </c>
      <c r="X85" s="103" t="str">
        <f t="shared" si="48"/>
        <v/>
      </c>
      <c r="Y85" s="103" t="str">
        <f t="shared" si="48"/>
        <v/>
      </c>
      <c r="Z85" s="103" t="str">
        <f t="shared" si="48"/>
        <v/>
      </c>
      <c r="AA85" s="103" t="str">
        <f t="shared" si="48"/>
        <v/>
      </c>
      <c r="AB85" s="103" t="str">
        <f t="shared" si="48"/>
        <v/>
      </c>
      <c r="AC85" s="103" t="str">
        <f t="shared" si="48"/>
        <v/>
      </c>
      <c r="AD85" s="103" t="str">
        <f t="shared" si="48"/>
        <v/>
      </c>
      <c r="AE85" s="103" t="str">
        <f t="shared" si="48"/>
        <v/>
      </c>
      <c r="AF85" s="103" t="str">
        <f t="shared" si="48"/>
        <v/>
      </c>
      <c r="AG85" s="104" t="str">
        <f t="shared" si="48"/>
        <v/>
      </c>
    </row>
    <row r="86" spans="2:33" ht="15.75" hidden="1" customHeight="1" x14ac:dyDescent="0.25">
      <c r="B86" s="133" t="str">
        <f t="shared" si="45"/>
        <v xml:space="preserve">   Principal Payment</v>
      </c>
      <c r="D86" s="128" t="str">
        <f t="shared" ref="D86:AG86" si="49">IF($C$82&lt;D80,"",PV($C$81/12,D82,-($D$83))-PV($C$81/12,E82,-($D$83)))</f>
        <v/>
      </c>
      <c r="E86" s="128" t="str">
        <f t="shared" si="49"/>
        <v/>
      </c>
      <c r="F86" s="128" t="str">
        <f t="shared" si="49"/>
        <v/>
      </c>
      <c r="G86" s="128" t="str">
        <f t="shared" si="49"/>
        <v/>
      </c>
      <c r="H86" s="128" t="str">
        <f t="shared" si="49"/>
        <v/>
      </c>
      <c r="I86" s="128" t="str">
        <f t="shared" si="49"/>
        <v/>
      </c>
      <c r="J86" s="128" t="str">
        <f t="shared" si="49"/>
        <v/>
      </c>
      <c r="K86" s="128" t="str">
        <f t="shared" si="49"/>
        <v/>
      </c>
      <c r="L86" s="128" t="str">
        <f t="shared" si="49"/>
        <v/>
      </c>
      <c r="M86" s="128" t="str">
        <f t="shared" si="49"/>
        <v/>
      </c>
      <c r="N86" s="128" t="str">
        <f t="shared" si="49"/>
        <v/>
      </c>
      <c r="O86" s="128" t="str">
        <f t="shared" si="49"/>
        <v/>
      </c>
      <c r="P86" s="128" t="str">
        <f t="shared" si="49"/>
        <v/>
      </c>
      <c r="Q86" s="128" t="str">
        <f t="shared" si="49"/>
        <v/>
      </c>
      <c r="R86" s="128" t="str">
        <f t="shared" si="49"/>
        <v/>
      </c>
      <c r="S86" s="128" t="str">
        <f t="shared" si="49"/>
        <v/>
      </c>
      <c r="T86" s="128" t="str">
        <f t="shared" si="49"/>
        <v/>
      </c>
      <c r="U86" s="128" t="str">
        <f t="shared" si="49"/>
        <v/>
      </c>
      <c r="V86" s="128" t="str">
        <f t="shared" si="49"/>
        <v/>
      </c>
      <c r="W86" s="128" t="str">
        <f t="shared" si="49"/>
        <v/>
      </c>
      <c r="X86" s="128" t="str">
        <f t="shared" si="49"/>
        <v/>
      </c>
      <c r="Y86" s="128" t="str">
        <f t="shared" si="49"/>
        <v/>
      </c>
      <c r="Z86" s="128" t="str">
        <f t="shared" si="49"/>
        <v/>
      </c>
      <c r="AA86" s="128" t="str">
        <f t="shared" si="49"/>
        <v/>
      </c>
      <c r="AB86" s="128" t="str">
        <f t="shared" si="49"/>
        <v/>
      </c>
      <c r="AC86" s="128" t="str">
        <f t="shared" si="49"/>
        <v/>
      </c>
      <c r="AD86" s="128" t="str">
        <f t="shared" si="49"/>
        <v/>
      </c>
      <c r="AE86" s="128" t="str">
        <f t="shared" si="49"/>
        <v/>
      </c>
      <c r="AF86" s="128" t="str">
        <f t="shared" si="49"/>
        <v/>
      </c>
      <c r="AG86" s="112" t="str">
        <f t="shared" si="49"/>
        <v/>
      </c>
    </row>
    <row r="87" spans="2:33" ht="15.75" hidden="1" customHeight="1" x14ac:dyDescent="0.25">
      <c r="B87" s="145" t="str">
        <f t="shared" si="45"/>
        <v>Remaining Principal</v>
      </c>
      <c r="C87" s="149"/>
      <c r="D87" s="129" t="str">
        <f>IF($C$82&lt;D80,"",C83-D86)</f>
        <v/>
      </c>
      <c r="E87" s="129" t="str">
        <f>IF($C$82&lt;E80,"",D87-E86)</f>
        <v/>
      </c>
      <c r="F87" s="129" t="str">
        <f t="shared" ref="F87:AG87" si="50">IF($C$82&lt;F80,"",E87-F86)</f>
        <v/>
      </c>
      <c r="G87" s="129" t="str">
        <f t="shared" si="50"/>
        <v/>
      </c>
      <c r="H87" s="129" t="str">
        <f t="shared" si="50"/>
        <v/>
      </c>
      <c r="I87" s="129" t="str">
        <f t="shared" si="50"/>
        <v/>
      </c>
      <c r="J87" s="129" t="str">
        <f t="shared" si="50"/>
        <v/>
      </c>
      <c r="K87" s="129" t="str">
        <f t="shared" si="50"/>
        <v/>
      </c>
      <c r="L87" s="129" t="str">
        <f t="shared" si="50"/>
        <v/>
      </c>
      <c r="M87" s="129" t="str">
        <f t="shared" si="50"/>
        <v/>
      </c>
      <c r="N87" s="129" t="str">
        <f t="shared" si="50"/>
        <v/>
      </c>
      <c r="O87" s="129" t="str">
        <f t="shared" si="50"/>
        <v/>
      </c>
      <c r="P87" s="129" t="str">
        <f t="shared" si="50"/>
        <v/>
      </c>
      <c r="Q87" s="129" t="str">
        <f t="shared" si="50"/>
        <v/>
      </c>
      <c r="R87" s="129" t="str">
        <f t="shared" si="50"/>
        <v/>
      </c>
      <c r="S87" s="129" t="str">
        <f t="shared" si="50"/>
        <v/>
      </c>
      <c r="T87" s="129" t="str">
        <f t="shared" si="50"/>
        <v/>
      </c>
      <c r="U87" s="129" t="str">
        <f t="shared" si="50"/>
        <v/>
      </c>
      <c r="V87" s="129" t="str">
        <f t="shared" si="50"/>
        <v/>
      </c>
      <c r="W87" s="129" t="str">
        <f t="shared" si="50"/>
        <v/>
      </c>
      <c r="X87" s="129" t="str">
        <f t="shared" si="50"/>
        <v/>
      </c>
      <c r="Y87" s="129" t="str">
        <f t="shared" si="50"/>
        <v/>
      </c>
      <c r="Z87" s="129" t="str">
        <f t="shared" si="50"/>
        <v/>
      </c>
      <c r="AA87" s="129" t="str">
        <f t="shared" si="50"/>
        <v/>
      </c>
      <c r="AB87" s="129" t="str">
        <f t="shared" si="50"/>
        <v/>
      </c>
      <c r="AC87" s="129" t="str">
        <f t="shared" si="50"/>
        <v/>
      </c>
      <c r="AD87" s="129" t="str">
        <f t="shared" si="50"/>
        <v/>
      </c>
      <c r="AE87" s="129" t="str">
        <f t="shared" si="50"/>
        <v/>
      </c>
      <c r="AF87" s="129" t="str">
        <f t="shared" si="50"/>
        <v/>
      </c>
      <c r="AG87" s="130" t="str">
        <f t="shared" si="50"/>
        <v/>
      </c>
    </row>
    <row r="88" spans="2:33" ht="15.75" hidden="1" customHeight="1" x14ac:dyDescent="0.25">
      <c r="B88" s="45"/>
      <c r="C88" s="5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row>
    <row r="89" spans="2:33" ht="15.75" hidden="1" customHeight="1" x14ac:dyDescent="0.25">
      <c r="B89" s="250" t="s">
        <v>316</v>
      </c>
      <c r="C89" s="251"/>
      <c r="D89" s="252">
        <v>1</v>
      </c>
      <c r="E89" s="252">
        <v>2</v>
      </c>
      <c r="F89" s="252">
        <v>3</v>
      </c>
      <c r="G89" s="252">
        <v>4</v>
      </c>
      <c r="H89" s="252">
        <v>5</v>
      </c>
      <c r="I89" s="252">
        <v>6</v>
      </c>
      <c r="J89" s="252">
        <v>7</v>
      </c>
      <c r="K89" s="252">
        <v>8</v>
      </c>
      <c r="L89" s="252">
        <v>9</v>
      </c>
      <c r="M89" s="252">
        <v>10</v>
      </c>
      <c r="N89" s="252">
        <v>11</v>
      </c>
      <c r="O89" s="252">
        <v>12</v>
      </c>
      <c r="P89" s="252">
        <v>13</v>
      </c>
      <c r="Q89" s="252">
        <v>14</v>
      </c>
      <c r="R89" s="252">
        <v>15</v>
      </c>
      <c r="S89" s="252">
        <v>16</v>
      </c>
      <c r="T89" s="252">
        <v>17</v>
      </c>
      <c r="U89" s="252">
        <v>18</v>
      </c>
      <c r="V89" s="252">
        <v>19</v>
      </c>
      <c r="W89" s="252">
        <v>20</v>
      </c>
      <c r="X89" s="252">
        <v>21</v>
      </c>
      <c r="Y89" s="252">
        <v>22</v>
      </c>
      <c r="Z89" s="252">
        <v>23</v>
      </c>
      <c r="AA89" s="252">
        <v>24</v>
      </c>
      <c r="AB89" s="252">
        <v>25</v>
      </c>
      <c r="AC89" s="252">
        <v>26</v>
      </c>
      <c r="AD89" s="252">
        <v>27</v>
      </c>
      <c r="AE89" s="252">
        <v>28</v>
      </c>
      <c r="AF89" s="252">
        <v>29</v>
      </c>
      <c r="AG89" s="253">
        <v>30</v>
      </c>
    </row>
    <row r="90" spans="2:33" ht="15.75" hidden="1" customHeight="1" x14ac:dyDescent="0.25">
      <c r="B90" s="133" t="s">
        <v>317</v>
      </c>
      <c r="D90" s="103">
        <f>D17/1.15</f>
        <v>0</v>
      </c>
      <c r="E90" s="103">
        <f t="shared" ref="E90:W90" si="51">E17/1.15</f>
        <v>0</v>
      </c>
      <c r="F90" s="103">
        <f t="shared" si="51"/>
        <v>0</v>
      </c>
      <c r="G90" s="103">
        <f t="shared" si="51"/>
        <v>0</v>
      </c>
      <c r="H90" s="103">
        <f t="shared" si="51"/>
        <v>0</v>
      </c>
      <c r="I90" s="103">
        <f t="shared" si="51"/>
        <v>0</v>
      </c>
      <c r="J90" s="103">
        <f t="shared" si="51"/>
        <v>0</v>
      </c>
      <c r="K90" s="103">
        <f t="shared" si="51"/>
        <v>0</v>
      </c>
      <c r="L90" s="103">
        <f t="shared" si="51"/>
        <v>0</v>
      </c>
      <c r="M90" s="103">
        <f t="shared" si="51"/>
        <v>0</v>
      </c>
      <c r="N90" s="103">
        <f t="shared" si="51"/>
        <v>0</v>
      </c>
      <c r="O90" s="103">
        <f t="shared" si="51"/>
        <v>0</v>
      </c>
      <c r="P90" s="103">
        <f t="shared" si="51"/>
        <v>0</v>
      </c>
      <c r="Q90" s="103">
        <f t="shared" si="51"/>
        <v>0</v>
      </c>
      <c r="R90" s="103">
        <f t="shared" si="51"/>
        <v>0</v>
      </c>
      <c r="S90" s="103">
        <f t="shared" si="51"/>
        <v>0</v>
      </c>
      <c r="T90" s="103">
        <f t="shared" si="51"/>
        <v>0</v>
      </c>
      <c r="U90" s="103">
        <f t="shared" si="51"/>
        <v>0</v>
      </c>
      <c r="V90" s="103">
        <f t="shared" si="51"/>
        <v>0</v>
      </c>
      <c r="W90" s="103">
        <f t="shared" si="51"/>
        <v>0</v>
      </c>
      <c r="X90" s="105"/>
      <c r="Y90" s="105"/>
      <c r="Z90" s="105"/>
      <c r="AA90" s="105"/>
      <c r="AB90" s="105"/>
      <c r="AC90" s="105"/>
      <c r="AD90" s="105"/>
      <c r="AE90" s="105"/>
      <c r="AF90" s="105"/>
      <c r="AG90" s="104"/>
    </row>
    <row r="91" spans="2:33" ht="15.75" hidden="1" customHeight="1" x14ac:dyDescent="0.25">
      <c r="B91" s="150" t="s">
        <v>318</v>
      </c>
      <c r="D91" s="103">
        <f t="shared" ref="D91:W91" si="52">D18</f>
        <v>0</v>
      </c>
      <c r="E91" s="103">
        <f t="shared" si="52"/>
        <v>0</v>
      </c>
      <c r="F91" s="103">
        <f t="shared" si="52"/>
        <v>0</v>
      </c>
      <c r="G91" s="103">
        <f t="shared" si="52"/>
        <v>0</v>
      </c>
      <c r="H91" s="103">
        <f t="shared" si="52"/>
        <v>0</v>
      </c>
      <c r="I91" s="103">
        <f t="shared" si="52"/>
        <v>0</v>
      </c>
      <c r="J91" s="103">
        <f t="shared" si="52"/>
        <v>0</v>
      </c>
      <c r="K91" s="103">
        <f t="shared" si="52"/>
        <v>0</v>
      </c>
      <c r="L91" s="103">
        <f t="shared" si="52"/>
        <v>0</v>
      </c>
      <c r="M91" s="103">
        <f t="shared" si="52"/>
        <v>0</v>
      </c>
      <c r="N91" s="103">
        <f t="shared" si="52"/>
        <v>0</v>
      </c>
      <c r="O91" s="103">
        <f t="shared" si="52"/>
        <v>0</v>
      </c>
      <c r="P91" s="103">
        <f t="shared" si="52"/>
        <v>0</v>
      </c>
      <c r="Q91" s="103">
        <f t="shared" si="52"/>
        <v>0</v>
      </c>
      <c r="R91" s="103">
        <f t="shared" si="52"/>
        <v>0</v>
      </c>
      <c r="S91" s="103">
        <f t="shared" si="52"/>
        <v>0</v>
      </c>
      <c r="T91" s="103">
        <f t="shared" si="52"/>
        <v>0</v>
      </c>
      <c r="U91" s="103">
        <f t="shared" si="52"/>
        <v>0</v>
      </c>
      <c r="V91" s="103">
        <f t="shared" si="52"/>
        <v>0</v>
      </c>
      <c r="W91" s="105">
        <f t="shared" si="52"/>
        <v>0</v>
      </c>
      <c r="X91" s="105"/>
      <c r="Y91" s="105"/>
      <c r="Z91" s="105"/>
      <c r="AA91" s="105"/>
      <c r="AB91" s="105"/>
      <c r="AC91" s="105"/>
      <c r="AD91" s="105"/>
      <c r="AE91" s="105"/>
      <c r="AF91" s="105"/>
      <c r="AG91" s="104"/>
    </row>
    <row r="92" spans="2:33" ht="15.75" hidden="1" customHeight="1" x14ac:dyDescent="0.25">
      <c r="B92" s="150" t="s">
        <v>319</v>
      </c>
      <c r="D92" s="105">
        <f>SUM(D$20:D$27)</f>
        <v>0</v>
      </c>
      <c r="E92" s="105">
        <f t="shared" ref="E92:W92" si="53">SUM(E$20:E$27)</f>
        <v>0</v>
      </c>
      <c r="F92" s="105">
        <f t="shared" si="53"/>
        <v>0</v>
      </c>
      <c r="G92" s="105">
        <f t="shared" si="53"/>
        <v>0</v>
      </c>
      <c r="H92" s="105">
        <f t="shared" si="53"/>
        <v>0</v>
      </c>
      <c r="I92" s="105">
        <f t="shared" si="53"/>
        <v>0</v>
      </c>
      <c r="J92" s="105">
        <f t="shared" si="53"/>
        <v>0</v>
      </c>
      <c r="K92" s="105">
        <f t="shared" si="53"/>
        <v>0</v>
      </c>
      <c r="L92" s="105">
        <f t="shared" si="53"/>
        <v>0</v>
      </c>
      <c r="M92" s="105">
        <f t="shared" si="53"/>
        <v>0</v>
      </c>
      <c r="N92" s="105">
        <f t="shared" si="53"/>
        <v>0</v>
      </c>
      <c r="O92" s="105">
        <f t="shared" si="53"/>
        <v>0</v>
      </c>
      <c r="P92" s="105">
        <f t="shared" si="53"/>
        <v>0</v>
      </c>
      <c r="Q92" s="105">
        <f t="shared" si="53"/>
        <v>0</v>
      </c>
      <c r="R92" s="105">
        <f t="shared" si="53"/>
        <v>0</v>
      </c>
      <c r="S92" s="105">
        <f t="shared" si="53"/>
        <v>0</v>
      </c>
      <c r="T92" s="105">
        <f t="shared" si="53"/>
        <v>0</v>
      </c>
      <c r="U92" s="105">
        <f t="shared" si="53"/>
        <v>0</v>
      </c>
      <c r="V92" s="105">
        <f t="shared" si="53"/>
        <v>0</v>
      </c>
      <c r="W92" s="105">
        <f t="shared" si="53"/>
        <v>0</v>
      </c>
      <c r="X92" s="105"/>
      <c r="Y92" s="105"/>
      <c r="Z92" s="105"/>
      <c r="AA92" s="105"/>
      <c r="AB92" s="105"/>
      <c r="AC92" s="105"/>
      <c r="AD92" s="105"/>
      <c r="AE92" s="105"/>
      <c r="AF92" s="105"/>
      <c r="AG92" s="104"/>
    </row>
    <row r="93" spans="2:33" ht="15.75" hidden="1" customHeight="1" x14ac:dyDescent="0.25">
      <c r="B93" s="151" t="s">
        <v>320</v>
      </c>
      <c r="C93" s="152"/>
      <c r="D93" s="108">
        <f t="shared" ref="D93:W93" si="54">D90-D91-D92</f>
        <v>0</v>
      </c>
      <c r="E93" s="108">
        <f t="shared" si="54"/>
        <v>0</v>
      </c>
      <c r="F93" s="108">
        <f t="shared" si="54"/>
        <v>0</v>
      </c>
      <c r="G93" s="108">
        <f t="shared" si="54"/>
        <v>0</v>
      </c>
      <c r="H93" s="108">
        <f t="shared" si="54"/>
        <v>0</v>
      </c>
      <c r="I93" s="108">
        <f t="shared" si="54"/>
        <v>0</v>
      </c>
      <c r="J93" s="108">
        <f t="shared" si="54"/>
        <v>0</v>
      </c>
      <c r="K93" s="108">
        <f t="shared" si="54"/>
        <v>0</v>
      </c>
      <c r="L93" s="108">
        <f t="shared" si="54"/>
        <v>0</v>
      </c>
      <c r="M93" s="108">
        <f t="shared" si="54"/>
        <v>0</v>
      </c>
      <c r="N93" s="108">
        <f t="shared" si="54"/>
        <v>0</v>
      </c>
      <c r="O93" s="108">
        <f t="shared" si="54"/>
        <v>0</v>
      </c>
      <c r="P93" s="108">
        <f t="shared" si="54"/>
        <v>0</v>
      </c>
      <c r="Q93" s="108">
        <f t="shared" si="54"/>
        <v>0</v>
      </c>
      <c r="R93" s="108">
        <f t="shared" si="54"/>
        <v>0</v>
      </c>
      <c r="S93" s="108">
        <f t="shared" si="54"/>
        <v>0</v>
      </c>
      <c r="T93" s="108">
        <f t="shared" si="54"/>
        <v>0</v>
      </c>
      <c r="U93" s="108">
        <f t="shared" si="54"/>
        <v>0</v>
      </c>
      <c r="V93" s="108">
        <f t="shared" si="54"/>
        <v>0</v>
      </c>
      <c r="W93" s="108">
        <f t="shared" si="54"/>
        <v>0</v>
      </c>
      <c r="X93" s="108"/>
      <c r="Y93" s="108"/>
      <c r="Z93" s="108"/>
      <c r="AA93" s="108"/>
      <c r="AB93" s="108"/>
      <c r="AC93" s="108"/>
      <c r="AD93" s="108"/>
      <c r="AE93" s="108"/>
      <c r="AF93" s="108"/>
      <c r="AG93" s="109"/>
    </row>
    <row r="94" spans="2:33" ht="15.75" hidden="1" customHeight="1" x14ac:dyDescent="0.25">
      <c r="B94" s="45"/>
      <c r="C94" s="5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row>
    <row r="95" spans="2:33" ht="15.75" hidden="1" customHeight="1" x14ac:dyDescent="0.25">
      <c r="B95" s="205" t="s">
        <v>321</v>
      </c>
    </row>
    <row r="96" spans="2:33" ht="240" hidden="1" customHeight="1" x14ac:dyDescent="0.25">
      <c r="B96" s="468" t="s">
        <v>322</v>
      </c>
      <c r="C96" s="468"/>
    </row>
    <row r="97" ht="15.75" customHeight="1" x14ac:dyDescent="0.2"/>
    <row r="98" ht="15.75" customHeight="1" x14ac:dyDescent="0.2"/>
    <row r="99" ht="15.75" customHeight="1" x14ac:dyDescent="0.2"/>
    <row r="100" ht="15.75" customHeight="1" x14ac:dyDescent="0.2"/>
  </sheetData>
  <sheetProtection password="C2A0" sheet="1" objects="1" scenarios="1" selectLockedCells="1"/>
  <mergeCells count="8">
    <mergeCell ref="B96:C96"/>
    <mergeCell ref="E45:F45"/>
    <mergeCell ref="G45:H45"/>
    <mergeCell ref="B3:C3"/>
    <mergeCell ref="E46:F46"/>
    <mergeCell ref="G46:H46"/>
    <mergeCell ref="E47:F47"/>
    <mergeCell ref="B33:C33"/>
  </mergeCells>
  <phoneticPr fontId="2" type="noConversion"/>
  <conditionalFormatting sqref="X58 X60:X61">
    <cfRule type="expression" dxfId="4" priority="4" stopIfTrue="1">
      <formula>($C$55&lt;21)</formula>
    </cfRule>
  </conditionalFormatting>
  <conditionalFormatting sqref="M33 R33">
    <cfRule type="cellIs" dxfId="3" priority="6" stopIfTrue="1" operator="lessThan">
      <formula>$L$33</formula>
    </cfRule>
  </conditionalFormatting>
  <conditionalFormatting sqref="D29">
    <cfRule type="cellIs" dxfId="2" priority="3" operator="lessThan">
      <formula>0</formula>
    </cfRule>
  </conditionalFormatting>
  <conditionalFormatting sqref="E29">
    <cfRule type="cellIs" dxfId="1" priority="2" operator="lessThan">
      <formula>0</formula>
    </cfRule>
  </conditionalFormatting>
  <conditionalFormatting sqref="F29:AG29">
    <cfRule type="cellIs" dxfId="0" priority="1" operator="lessThan">
      <formula>0</formula>
    </cfRule>
  </conditionalFormatting>
  <printOptions horizontalCentered="1"/>
  <pageMargins left="0.5" right="0.5" top="1" bottom="1" header="0.5" footer="0.5"/>
  <pageSetup scale="60" orientation="landscape" r:id="rId1"/>
  <headerFooter alignWithMargins="0"/>
  <ignoredErrors>
    <ignoredError sqref="T10:AG10 E25:AG25 D24:AG24 D26 D25 E26:AG26" unlockedFormula="1"/>
    <ignoredError sqref="E9:J9 K9:M9 N9:S9 T9:AG9" formula="1"/>
    <ignoredError sqref="E10:J10 K10:S10" formula="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B2:P59"/>
  <sheetViews>
    <sheetView showGridLines="0" showRowColHeaders="0" workbookViewId="0">
      <selection activeCell="F6" sqref="F6:I6"/>
    </sheetView>
  </sheetViews>
  <sheetFormatPr defaultRowHeight="15" x14ac:dyDescent="0.25"/>
  <cols>
    <col min="1" max="1" width="4.7109375" style="254" customWidth="1"/>
    <col min="2" max="2" width="4" style="254" customWidth="1"/>
    <col min="3" max="3" width="11.140625" style="254" customWidth="1"/>
    <col min="4" max="4" width="5.85546875" style="254" customWidth="1"/>
    <col min="5" max="5" width="2.85546875" style="254" customWidth="1"/>
    <col min="6" max="6" width="8" style="254" customWidth="1"/>
    <col min="7" max="7" width="15.42578125" style="254" customWidth="1"/>
    <col min="8" max="8" width="13.28515625" style="254" customWidth="1"/>
    <col min="9" max="9" width="7.140625" style="254" customWidth="1"/>
    <col min="10" max="10" width="23.28515625" style="254" customWidth="1"/>
    <col min="11" max="11" width="8" style="254" customWidth="1"/>
    <col min="12" max="12" width="6.140625" style="254" customWidth="1"/>
    <col min="13" max="13" width="6.85546875" style="254" customWidth="1"/>
    <col min="14" max="14" width="10.28515625" style="254" customWidth="1"/>
    <col min="15" max="16384" width="9.140625" style="254"/>
  </cols>
  <sheetData>
    <row r="2" spans="2:16" ht="18.75" x14ac:dyDescent="0.3">
      <c r="B2" s="424" t="s">
        <v>404</v>
      </c>
      <c r="C2" s="424"/>
      <c r="D2" s="424"/>
      <c r="E2" s="424"/>
      <c r="F2" s="424"/>
      <c r="G2" s="424"/>
      <c r="H2" s="424"/>
      <c r="I2" s="424"/>
      <c r="J2" s="424"/>
      <c r="K2" s="424"/>
      <c r="L2" s="424"/>
      <c r="M2" s="255"/>
      <c r="N2" s="255"/>
    </row>
    <row r="4" spans="2:16" x14ac:dyDescent="0.25">
      <c r="B4" s="254" t="s">
        <v>0</v>
      </c>
      <c r="D4" s="486" t="str">
        <f>IF(Costs!B6="","",Costs!B6)</f>
        <v/>
      </c>
      <c r="E4" s="486"/>
      <c r="F4" s="486"/>
      <c r="G4" s="486"/>
      <c r="H4" s="254" t="s">
        <v>346</v>
      </c>
      <c r="J4" s="257" t="s">
        <v>37</v>
      </c>
      <c r="K4" s="256" t="str">
        <f>IF(Costs!F6="","",Costs!F6)</f>
        <v/>
      </c>
      <c r="N4" s="258"/>
    </row>
    <row r="6" spans="2:16" x14ac:dyDescent="0.25">
      <c r="B6" s="254" t="s">
        <v>347</v>
      </c>
      <c r="E6" s="258"/>
      <c r="F6" s="485"/>
      <c r="G6" s="485"/>
      <c r="H6" s="485"/>
      <c r="I6" s="485"/>
      <c r="J6" s="254" t="s">
        <v>348</v>
      </c>
    </row>
    <row r="8" spans="2:16" x14ac:dyDescent="0.25">
      <c r="B8" s="254" t="s">
        <v>349</v>
      </c>
      <c r="D8" s="485"/>
      <c r="E8" s="485"/>
      <c r="F8" s="485"/>
    </row>
    <row r="10" spans="2:16" x14ac:dyDescent="0.25">
      <c r="B10" s="254" t="s">
        <v>350</v>
      </c>
      <c r="D10" s="485"/>
      <c r="E10" s="485"/>
      <c r="F10" s="485"/>
      <c r="G10" s="260" t="s">
        <v>351</v>
      </c>
      <c r="H10" s="260"/>
      <c r="I10" s="260"/>
      <c r="J10" s="260"/>
      <c r="P10" s="261" t="s">
        <v>352</v>
      </c>
    </row>
    <row r="11" spans="2:16" x14ac:dyDescent="0.25">
      <c r="B11" s="254" t="s">
        <v>413</v>
      </c>
      <c r="P11" s="261" t="s">
        <v>353</v>
      </c>
    </row>
    <row r="12" spans="2:16" x14ac:dyDescent="0.25">
      <c r="B12" s="254" t="s">
        <v>354</v>
      </c>
    </row>
    <row r="13" spans="2:16" ht="6" customHeight="1" x14ac:dyDescent="0.25"/>
    <row r="14" spans="2:16" x14ac:dyDescent="0.25">
      <c r="B14" s="262" t="s">
        <v>355</v>
      </c>
      <c r="C14" s="262"/>
    </row>
    <row r="15" spans="2:16" x14ac:dyDescent="0.25">
      <c r="B15" s="254" t="s">
        <v>356</v>
      </c>
      <c r="P15" s="261" t="s">
        <v>357</v>
      </c>
    </row>
    <row r="16" spans="2:16" x14ac:dyDescent="0.25">
      <c r="B16" s="258" t="s">
        <v>358</v>
      </c>
      <c r="C16" s="258"/>
      <c r="P16" s="261" t="s">
        <v>359</v>
      </c>
    </row>
    <row r="17" spans="2:2" ht="6" customHeight="1" x14ac:dyDescent="0.25"/>
    <row r="18" spans="2:2" x14ac:dyDescent="0.25">
      <c r="B18" s="254" t="s">
        <v>360</v>
      </c>
    </row>
    <row r="19" spans="2:2" x14ac:dyDescent="0.25">
      <c r="B19" s="254" t="s">
        <v>361</v>
      </c>
    </row>
    <row r="20" spans="2:2" x14ac:dyDescent="0.25">
      <c r="B20" s="254" t="s">
        <v>362</v>
      </c>
    </row>
    <row r="21" spans="2:2" x14ac:dyDescent="0.25">
      <c r="B21" s="254" t="s">
        <v>363</v>
      </c>
    </row>
    <row r="22" spans="2:2" x14ac:dyDescent="0.25">
      <c r="B22" s="254" t="s">
        <v>364</v>
      </c>
    </row>
    <row r="23" spans="2:2" ht="6" customHeight="1" x14ac:dyDescent="0.25"/>
    <row r="24" spans="2:2" x14ac:dyDescent="0.25">
      <c r="B24" s="254" t="s">
        <v>365</v>
      </c>
    </row>
    <row r="25" spans="2:2" ht="15" customHeight="1" x14ac:dyDescent="0.25"/>
    <row r="26" spans="2:2" x14ac:dyDescent="0.25">
      <c r="B26" s="254" t="s">
        <v>366</v>
      </c>
    </row>
    <row r="27" spans="2:2" x14ac:dyDescent="0.25">
      <c r="B27" s="254" t="s">
        <v>367</v>
      </c>
    </row>
    <row r="28" spans="2:2" ht="6" customHeight="1" x14ac:dyDescent="0.25"/>
    <row r="29" spans="2:2" x14ac:dyDescent="0.25">
      <c r="B29" s="254" t="s">
        <v>368</v>
      </c>
    </row>
    <row r="30" spans="2:2" x14ac:dyDescent="0.25">
      <c r="B30" s="254" t="s">
        <v>369</v>
      </c>
    </row>
    <row r="31" spans="2:2" ht="6" customHeight="1" x14ac:dyDescent="0.25"/>
    <row r="32" spans="2:2" x14ac:dyDescent="0.25">
      <c r="B32" s="254" t="s">
        <v>370</v>
      </c>
    </row>
    <row r="33" spans="2:10" ht="6" customHeight="1" x14ac:dyDescent="0.25"/>
    <row r="34" spans="2:10" x14ac:dyDescent="0.25">
      <c r="B34" s="254" t="s">
        <v>371</v>
      </c>
    </row>
    <row r="35" spans="2:10" ht="6" customHeight="1" x14ac:dyDescent="0.25"/>
    <row r="36" spans="2:10" x14ac:dyDescent="0.25">
      <c r="B36" s="254" t="s">
        <v>372</v>
      </c>
    </row>
    <row r="37" spans="2:10" x14ac:dyDescent="0.25">
      <c r="B37" s="254" t="s">
        <v>373</v>
      </c>
    </row>
    <row r="38" spans="2:10" ht="15" customHeight="1" x14ac:dyDescent="0.25"/>
    <row r="39" spans="2:10" x14ac:dyDescent="0.25">
      <c r="B39" s="254" t="s">
        <v>374</v>
      </c>
    </row>
    <row r="40" spans="2:10" x14ac:dyDescent="0.25">
      <c r="B40" s="254" t="s">
        <v>375</v>
      </c>
    </row>
    <row r="41" spans="2:10" x14ac:dyDescent="0.25">
      <c r="B41" s="254" t="s">
        <v>376</v>
      </c>
    </row>
    <row r="42" spans="2:10" x14ac:dyDescent="0.25">
      <c r="B42" s="254" t="s">
        <v>377</v>
      </c>
    </row>
    <row r="45" spans="2:10" x14ac:dyDescent="0.25">
      <c r="B45" s="486" t="str">
        <f>IF(F6="","",F6)</f>
        <v/>
      </c>
      <c r="C45" s="486"/>
      <c r="D45" s="486"/>
      <c r="E45" s="486"/>
      <c r="F45" s="486"/>
      <c r="G45" s="486"/>
      <c r="H45" s="260"/>
      <c r="I45" s="260"/>
      <c r="J45" s="260"/>
    </row>
    <row r="46" spans="2:10" x14ac:dyDescent="0.25">
      <c r="B46" s="263" t="s">
        <v>378</v>
      </c>
      <c r="C46" s="480"/>
      <c r="D46" s="480"/>
      <c r="E46" s="480"/>
      <c r="F46" s="263" t="s">
        <v>379</v>
      </c>
      <c r="G46" s="264"/>
      <c r="H46" s="260"/>
      <c r="I46" s="260"/>
      <c r="J46" s="260"/>
    </row>
    <row r="47" spans="2:10" ht="12" customHeight="1" x14ac:dyDescent="0.25">
      <c r="C47" s="481" t="s">
        <v>380</v>
      </c>
      <c r="D47" s="481"/>
      <c r="E47" s="481"/>
    </row>
    <row r="49" spans="2:12" x14ac:dyDescent="0.25">
      <c r="B49" s="254" t="s">
        <v>381</v>
      </c>
      <c r="C49" s="485"/>
      <c r="D49" s="485"/>
      <c r="E49" s="485"/>
      <c r="F49" s="485"/>
      <c r="G49" s="485"/>
      <c r="H49" s="260"/>
      <c r="I49" s="260"/>
      <c r="J49" s="260"/>
    </row>
    <row r="50" spans="2:12" x14ac:dyDescent="0.25">
      <c r="E50" s="254" t="s">
        <v>382</v>
      </c>
      <c r="F50" s="489" t="str">
        <f>IF(D10="","",D10)</f>
        <v/>
      </c>
      <c r="G50" s="489"/>
    </row>
    <row r="53" spans="2:12" x14ac:dyDescent="0.25">
      <c r="D53" s="482" t="s">
        <v>381</v>
      </c>
      <c r="E53" s="482"/>
      <c r="F53" s="486"/>
      <c r="G53" s="486"/>
      <c r="H53" s="486"/>
      <c r="I53" s="488" t="s">
        <v>383</v>
      </c>
      <c r="J53" s="488"/>
      <c r="K53" s="488"/>
      <c r="L53" s="488"/>
    </row>
    <row r="54" spans="2:12" ht="12" customHeight="1" x14ac:dyDescent="0.25">
      <c r="F54" s="481" t="s">
        <v>384</v>
      </c>
      <c r="G54" s="481"/>
      <c r="H54" s="481"/>
    </row>
    <row r="55" spans="2:12" ht="15" customHeight="1" x14ac:dyDescent="0.25">
      <c r="D55" s="482" t="s">
        <v>385</v>
      </c>
      <c r="E55" s="482"/>
      <c r="F55" s="485"/>
      <c r="G55" s="485"/>
      <c r="H55" s="485"/>
      <c r="I55" s="265"/>
      <c r="J55" s="485"/>
      <c r="K55" s="485"/>
      <c r="L55" s="485"/>
    </row>
    <row r="56" spans="2:12" ht="12" customHeight="1" x14ac:dyDescent="0.25"/>
    <row r="57" spans="2:12" x14ac:dyDescent="0.25">
      <c r="B57" s="484" t="s">
        <v>386</v>
      </c>
      <c r="C57" s="484"/>
      <c r="D57" s="482" t="s">
        <v>387</v>
      </c>
      <c r="E57" s="482"/>
      <c r="F57" s="485"/>
      <c r="G57" s="485"/>
      <c r="H57" s="485"/>
      <c r="I57" s="265"/>
      <c r="J57" s="259"/>
      <c r="K57" s="487" t="s">
        <v>388</v>
      </c>
      <c r="L57" s="487"/>
    </row>
    <row r="58" spans="2:12" ht="12" customHeight="1" x14ac:dyDescent="0.25">
      <c r="B58" s="479" t="s">
        <v>389</v>
      </c>
      <c r="C58" s="479"/>
    </row>
    <row r="59" spans="2:12" x14ac:dyDescent="0.25">
      <c r="D59" s="482" t="s">
        <v>390</v>
      </c>
      <c r="E59" s="482"/>
      <c r="F59" s="483"/>
      <c r="G59" s="483"/>
    </row>
  </sheetData>
  <sheetProtection password="B40A" sheet="1" objects="1" scenarios="1" selectLockedCells="1"/>
  <mergeCells count="24">
    <mergeCell ref="B2:L2"/>
    <mergeCell ref="D4:G4"/>
    <mergeCell ref="F6:I6"/>
    <mergeCell ref="D8:F8"/>
    <mergeCell ref="K57:L57"/>
    <mergeCell ref="I53:L53"/>
    <mergeCell ref="F54:H54"/>
    <mergeCell ref="D55:E55"/>
    <mergeCell ref="F55:H55"/>
    <mergeCell ref="J55:L55"/>
    <mergeCell ref="D53:E53"/>
    <mergeCell ref="F53:H53"/>
    <mergeCell ref="C49:G49"/>
    <mergeCell ref="F50:G50"/>
    <mergeCell ref="D10:F10"/>
    <mergeCell ref="B45:G45"/>
    <mergeCell ref="B58:C58"/>
    <mergeCell ref="C46:E46"/>
    <mergeCell ref="C47:E47"/>
    <mergeCell ref="D59:E59"/>
    <mergeCell ref="F59:G59"/>
    <mergeCell ref="B57:C57"/>
    <mergeCell ref="D57:E57"/>
    <mergeCell ref="F57:H57"/>
  </mergeCells>
  <phoneticPr fontId="2" type="noConversion"/>
  <dataValidations count="2">
    <dataValidation type="list" allowBlank="1" showInputMessage="1" showErrorMessage="1" sqref="D10:F10">
      <formula1>$P$9:$P$11</formula1>
    </dataValidation>
    <dataValidation type="list" allowBlank="1" showInputMessage="1" showErrorMessage="1" sqref="G46">
      <formula1>$P$14:$P$16</formula1>
    </dataValidation>
  </dataValidations>
  <pageMargins left="0.75" right="0.75" top="1" bottom="1" header="0.5" footer="0.5"/>
  <pageSetup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Instructions</vt:lpstr>
      <vt:lpstr>Costs</vt:lpstr>
      <vt:lpstr>Sources</vt:lpstr>
      <vt:lpstr>Credit Info</vt:lpstr>
      <vt:lpstr>Bldg Info</vt:lpstr>
      <vt:lpstr>Unit Mix</vt:lpstr>
      <vt:lpstr>Op Budg</vt:lpstr>
      <vt:lpstr>Cash Flow</vt:lpstr>
      <vt:lpstr>Owner Cert</vt:lpstr>
      <vt:lpstr>Auditor Cert</vt:lpstr>
      <vt:lpstr>PDC_Land_Cost</vt:lpstr>
      <vt:lpstr>PDC_Less_Disproportionate_Std_30_PV</vt:lpstr>
      <vt:lpstr>PDC_Less_Disproportionate_Std_70_PV</vt:lpstr>
      <vt:lpstr>PDC_Less_Fed_Financ_other_than_CDBG</vt:lpstr>
      <vt:lpstr>PDC_Less_Fed_Financ_other_than_CDBG_70_PV</vt:lpstr>
      <vt:lpstr>PDC_Less_Historic_Tax_Credit</vt:lpstr>
      <vt:lpstr>PDC_Less_Nonqual_Nonrecourse_Financ_30_PV</vt:lpstr>
      <vt:lpstr>PDC_Less_Nonqual_Nonrecourse_Financ_70_PV</vt:lpstr>
      <vt:lpstr>PDC_Tax_Credit_Rate_30_PV</vt:lpstr>
      <vt:lpstr>PDC_Tax_Credit_Rate_70_PV</vt:lpstr>
      <vt:lpstr>PDC_Times_Applicable_Fraction_30_PV</vt:lpstr>
      <vt:lpstr>PDC_Times_Applicable_Fraction_70_PV</vt:lpstr>
      <vt:lpstr>'Auditor Cert'!Print_Area</vt:lpstr>
      <vt:lpstr>'Cash Flow'!Print_Area</vt:lpstr>
      <vt:lpstr>Costs!Print_Area</vt:lpstr>
      <vt:lpstr>Instructions!Print_Area</vt:lpstr>
      <vt:lpstr>'Owner Cert'!Print_Area</vt:lpstr>
      <vt:lpstr>Sources!Print_Area</vt:lpstr>
      <vt:lpstr>'Cash Flow'!Print_Titles</vt:lpstr>
      <vt:lpstr>'Op Budg'!ReplcmntReserves</vt:lpstr>
      <vt:lpstr>'Op Budg'!RETaxes</vt:lpstr>
      <vt:lpstr>'Op Budg'!SuppSvcExp</vt:lpstr>
    </vt:vector>
  </TitlesOfParts>
  <Company>NCHFA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claustin</dc:creator>
  <cp:lastModifiedBy>Rickey Kipfer II</cp:lastModifiedBy>
  <cp:lastPrinted>2013-10-09T15:00:57Z</cp:lastPrinted>
  <dcterms:created xsi:type="dcterms:W3CDTF">2004-11-08T13:37:12Z</dcterms:created>
  <dcterms:modified xsi:type="dcterms:W3CDTF">2016-03-16T19:18:02Z</dcterms:modified>
</cp:coreProperties>
</file>